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M:\2021\2021 WA-ID Schedule 95\ID\To File\"/>
    </mc:Choice>
  </mc:AlternateContent>
  <xr:revisionPtr revIDLastSave="0" documentId="8_{05CAA58A-39EA-4522-97AC-0D7FE1048334}" xr6:coauthVersionLast="45" xr6:coauthVersionMax="45" xr10:uidLastSave="{00000000-0000-0000-0000-000000000000}"/>
  <bookViews>
    <workbookView xWindow="1837" yWindow="1837" windowWidth="15391" windowHeight="9646" firstSheet="1" activeTab="1" xr2:uid="{3EB5AB45-8F75-4B0F-85AE-56BBE480E0BD}"/>
  </bookViews>
  <sheets>
    <sheet name="Voluntary RNG Forecast" sheetId="2" state="hidden" r:id="rId1"/>
    <sheet name="Model" sheetId="13" r:id="rId2"/>
    <sheet name="Breakdown" sheetId="12" r:id="rId3"/>
    <sheet name="$4 MCE Forecast" sheetId="11" r:id="rId4"/>
    <sheet name="$5 MCE Forecast" sheetId="5" r:id="rId5"/>
    <sheet name="$6 MCE Forecast"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3" l="1"/>
  <c r="I7" i="13" l="1"/>
  <c r="F7" i="13"/>
  <c r="B7" i="13"/>
  <c r="J7" i="13" s="1"/>
  <c r="K6" i="13"/>
  <c r="K7" i="13" s="1"/>
  <c r="L7" i="13" s="1"/>
  <c r="F6" i="13"/>
  <c r="B6" i="13"/>
  <c r="I6" i="13" s="1"/>
  <c r="J6" i="13" s="1"/>
  <c r="K5" i="13"/>
  <c r="I5" i="13"/>
  <c r="F5" i="13"/>
  <c r="J5" i="13" s="1"/>
  <c r="B5" i="13"/>
  <c r="K4" i="13"/>
  <c r="F4" i="13"/>
  <c r="B4" i="13"/>
  <c r="K3" i="13"/>
  <c r="F3" i="13"/>
  <c r="B3" i="13"/>
  <c r="K2" i="13"/>
  <c r="L2" i="13" s="1"/>
  <c r="F2" i="13"/>
  <c r="B2" i="13"/>
  <c r="I2" i="13" s="1"/>
  <c r="L5" i="13" l="1"/>
  <c r="L6" i="13"/>
  <c r="I4" i="13"/>
  <c r="J4" i="13" s="1"/>
  <c r="L4" i="13" s="1"/>
  <c r="I3" i="13"/>
  <c r="J3" i="13" s="1"/>
  <c r="L3" i="13" s="1"/>
  <c r="B11" i="12" l="1"/>
  <c r="B10" i="12"/>
  <c r="B13" i="12" l="1"/>
  <c r="B12" i="12"/>
  <c r="B7" i="12"/>
  <c r="B14" i="12" l="1"/>
  <c r="B16" i="12" s="1"/>
  <c r="D26" i="10" l="1"/>
  <c r="E26" i="10"/>
  <c r="F26" i="10"/>
  <c r="G26" i="10"/>
  <c r="D25" i="10"/>
  <c r="E25" i="10"/>
  <c r="F25" i="10"/>
  <c r="G25" i="10"/>
  <c r="C26" i="10"/>
  <c r="C25" i="10"/>
  <c r="D26" i="11"/>
  <c r="E26" i="11"/>
  <c r="F26" i="11"/>
  <c r="G26" i="11"/>
  <c r="C26" i="11"/>
  <c r="D25" i="11"/>
  <c r="E25" i="11"/>
  <c r="F25" i="11"/>
  <c r="G25" i="11"/>
  <c r="C25" i="11"/>
  <c r="B33" i="11" l="1"/>
  <c r="B32" i="11"/>
  <c r="B25" i="11"/>
  <c r="C20" i="11"/>
  <c r="C16" i="11"/>
  <c r="D16" i="11" s="1"/>
  <c r="E16" i="11" s="1"/>
  <c r="F16" i="11" s="1"/>
  <c r="G16" i="11" s="1"/>
  <c r="C15" i="11"/>
  <c r="C21" i="11" s="1"/>
  <c r="D13" i="11"/>
  <c r="D14" i="11" s="1"/>
  <c r="C13" i="11"/>
  <c r="C14" i="11" s="1"/>
  <c r="H12" i="11"/>
  <c r="C12" i="11"/>
  <c r="E11" i="11"/>
  <c r="E19" i="11" s="1"/>
  <c r="D11" i="11"/>
  <c r="D19" i="11" s="1"/>
  <c r="C11" i="11"/>
  <c r="C19" i="11" s="1"/>
  <c r="B33" i="10"/>
  <c r="B32" i="10"/>
  <c r="B25" i="10"/>
  <c r="C21" i="10"/>
  <c r="C19" i="10"/>
  <c r="C16" i="10"/>
  <c r="D16" i="10" s="1"/>
  <c r="E16" i="10" s="1"/>
  <c r="F16" i="10" s="1"/>
  <c r="G16" i="10" s="1"/>
  <c r="C15" i="10"/>
  <c r="D15" i="10" s="1"/>
  <c r="C14" i="10"/>
  <c r="C13" i="10"/>
  <c r="D13" i="10" s="1"/>
  <c r="H12" i="10"/>
  <c r="C11" i="10"/>
  <c r="D11" i="10" s="1"/>
  <c r="B33" i="5"/>
  <c r="B32" i="5"/>
  <c r="C16" i="5"/>
  <c r="D16" i="5" s="1"/>
  <c r="E16" i="5" s="1"/>
  <c r="F16" i="5" s="1"/>
  <c r="G16" i="5" s="1"/>
  <c r="D15" i="5"/>
  <c r="E15" i="5" s="1"/>
  <c r="F15" i="5" s="1"/>
  <c r="G15" i="5" s="1"/>
  <c r="C15" i="5"/>
  <c r="D13" i="5"/>
  <c r="E13" i="5" s="1"/>
  <c r="F13" i="5" s="1"/>
  <c r="G13" i="5" s="1"/>
  <c r="C21" i="5"/>
  <c r="C20" i="5"/>
  <c r="C13" i="5"/>
  <c r="C14" i="5" s="1"/>
  <c r="C26" i="5" s="1"/>
  <c r="C11" i="5"/>
  <c r="C19" i="5" s="1"/>
  <c r="C22" i="5" s="1"/>
  <c r="C27" i="5" s="1"/>
  <c r="H12" i="5"/>
  <c r="B25" i="5"/>
  <c r="C22" i="11" l="1"/>
  <c r="E14" i="11"/>
  <c r="F11" i="11"/>
  <c r="E13" i="11"/>
  <c r="D20" i="11"/>
  <c r="D12" i="11"/>
  <c r="D15" i="11"/>
  <c r="D21" i="10"/>
  <c r="E15" i="10"/>
  <c r="D19" i="10"/>
  <c r="D12" i="10"/>
  <c r="E11" i="10"/>
  <c r="D14" i="10"/>
  <c r="D20" i="10"/>
  <c r="E13" i="10"/>
  <c r="C20" i="10"/>
  <c r="C22" i="10" s="1"/>
  <c r="C12" i="10"/>
  <c r="C12" i="5"/>
  <c r="C25" i="5" s="1"/>
  <c r="D11" i="5"/>
  <c r="G11" i="11" l="1"/>
  <c r="G19" i="11" s="1"/>
  <c r="F19" i="11"/>
  <c r="F14" i="11"/>
  <c r="E20" i="11"/>
  <c r="F13" i="11"/>
  <c r="E15" i="11"/>
  <c r="D21" i="11"/>
  <c r="D22" i="11" s="1"/>
  <c r="E12" i="11"/>
  <c r="C27" i="11"/>
  <c r="C28" i="11"/>
  <c r="C27" i="10"/>
  <c r="C28" i="10"/>
  <c r="E14" i="10"/>
  <c r="F15" i="10"/>
  <c r="E21" i="10"/>
  <c r="E19" i="10"/>
  <c r="F11" i="10"/>
  <c r="C30" i="10"/>
  <c r="C32" i="10" s="1"/>
  <c r="C33" i="10" s="1"/>
  <c r="D22" i="10"/>
  <c r="E20" i="10"/>
  <c r="F13" i="10"/>
  <c r="E12" i="10"/>
  <c r="D19" i="5"/>
  <c r="E11" i="5"/>
  <c r="F11" i="5" s="1"/>
  <c r="G11" i="5" s="1"/>
  <c r="D27" i="11" l="1"/>
  <c r="D28" i="11"/>
  <c r="F15" i="11"/>
  <c r="E21" i="11"/>
  <c r="F20" i="11"/>
  <c r="G13" i="11"/>
  <c r="G20" i="11" s="1"/>
  <c r="E22" i="11"/>
  <c r="F12" i="11"/>
  <c r="D30" i="11"/>
  <c r="D32" i="11" s="1"/>
  <c r="C30" i="11"/>
  <c r="C32" i="11" s="1"/>
  <c r="C33" i="11" s="1"/>
  <c r="G14" i="11"/>
  <c r="D27" i="10"/>
  <c r="D30" i="10" s="1"/>
  <c r="D32" i="10" s="1"/>
  <c r="D33" i="10" s="1"/>
  <c r="D28" i="10"/>
  <c r="F19" i="10"/>
  <c r="G11" i="10"/>
  <c r="G19" i="10" s="1"/>
  <c r="F12" i="10"/>
  <c r="G15" i="10"/>
  <c r="G21" i="10" s="1"/>
  <c r="F21" i="10"/>
  <c r="E22" i="10"/>
  <c r="G13" i="10"/>
  <c r="G20" i="10" s="1"/>
  <c r="F20" i="10"/>
  <c r="F14" i="10"/>
  <c r="F22" i="11" l="1"/>
  <c r="D33" i="11"/>
  <c r="G15" i="11"/>
  <c r="G21" i="11" s="1"/>
  <c r="G22" i="11" s="1"/>
  <c r="F21" i="11"/>
  <c r="G12" i="11"/>
  <c r="E27" i="11"/>
  <c r="E30" i="11" s="1"/>
  <c r="E32" i="11" s="1"/>
  <c r="E28" i="11"/>
  <c r="G14" i="10"/>
  <c r="E30" i="10"/>
  <c r="E32" i="10" s="1"/>
  <c r="E33" i="10" s="1"/>
  <c r="G22" i="10"/>
  <c r="G12" i="10"/>
  <c r="F22" i="10"/>
  <c r="E27" i="10"/>
  <c r="E28" i="10"/>
  <c r="G28" i="11" l="1"/>
  <c r="G27" i="11"/>
  <c r="G30" i="11" s="1"/>
  <c r="G32" i="11" s="1"/>
  <c r="F28" i="11"/>
  <c r="F27" i="11"/>
  <c r="F30" i="11"/>
  <c r="F32" i="11" s="1"/>
  <c r="E33" i="11"/>
  <c r="F28" i="10"/>
  <c r="F27" i="10"/>
  <c r="F30" i="10"/>
  <c r="F32" i="10" s="1"/>
  <c r="F33" i="10" s="1"/>
  <c r="G28" i="10"/>
  <c r="G27" i="10"/>
  <c r="G30" i="10" s="1"/>
  <c r="G32" i="10" s="1"/>
  <c r="G33" i="10" l="1"/>
  <c r="F33" i="11"/>
  <c r="G33" i="11" s="1"/>
  <c r="D12" i="5" l="1"/>
  <c r="E12" i="5" l="1"/>
  <c r="D25" i="5"/>
  <c r="F19" i="5"/>
  <c r="E19" i="5"/>
  <c r="D20" i="5"/>
  <c r="F12" i="5" l="1"/>
  <c r="E25" i="5"/>
  <c r="G19" i="5"/>
  <c r="D14" i="5"/>
  <c r="E14" i="5" l="1"/>
  <c r="D26" i="5"/>
  <c r="G12" i="5"/>
  <c r="G25" i="5" s="1"/>
  <c r="F25" i="5"/>
  <c r="E20" i="5"/>
  <c r="D21" i="5"/>
  <c r="C28" i="5"/>
  <c r="C30" i="5" s="1"/>
  <c r="D22" i="5"/>
  <c r="F14" i="5" l="1"/>
  <c r="E26" i="5"/>
  <c r="E21" i="5"/>
  <c r="G20" i="5"/>
  <c r="F20" i="5"/>
  <c r="D27" i="5"/>
  <c r="D28" i="5"/>
  <c r="E22" i="5"/>
  <c r="G14" i="5" l="1"/>
  <c r="G26" i="5" s="1"/>
  <c r="F26" i="5"/>
  <c r="G21" i="5"/>
  <c r="F21" i="5"/>
  <c r="F22" i="5" s="1"/>
  <c r="E28" i="5"/>
  <c r="E27" i="5"/>
  <c r="G22" i="5"/>
  <c r="D30" i="5"/>
  <c r="D32" i="5" s="1"/>
  <c r="G27" i="5" l="1"/>
  <c r="G28" i="5"/>
  <c r="F27" i="5"/>
  <c r="F28" i="5"/>
  <c r="E30" i="5"/>
  <c r="E32" i="5" s="1"/>
  <c r="C32" i="5"/>
  <c r="C33" i="5" s="1"/>
  <c r="F30" i="5" l="1"/>
  <c r="F32" i="5" s="1"/>
  <c r="D33" i="5"/>
  <c r="E33" i="5" s="1"/>
  <c r="B8" i="2"/>
  <c r="B13" i="2"/>
  <c r="B9" i="2"/>
  <c r="F33" i="5" l="1"/>
  <c r="G30" i="5"/>
  <c r="G32" i="5" s="1"/>
  <c r="B11" i="2"/>
  <c r="B4" i="2"/>
  <c r="B10" i="2" s="1"/>
  <c r="G33" i="5" l="1"/>
  <c r="B5" i="2"/>
  <c r="B1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Fryer, Joy</author>
  </authors>
  <commentList>
    <comment ref="B1" authorId="0" shapeId="0" xr:uid="{72D7DC10-C5AC-4EA3-AA9B-F39515340A70}">
      <text>
        <r>
          <rPr>
            <b/>
            <sz val="9"/>
            <color indexed="81"/>
            <rFont val="Tahoma"/>
            <family val="2"/>
          </rPr>
          <t>Fryer, Joy:</t>
        </r>
        <r>
          <rPr>
            <sz val="9"/>
            <color indexed="81"/>
            <rFont val="Tahoma"/>
            <family val="2"/>
          </rPr>
          <t xml:space="preserve">
Retail Rate represents customer charge per kWh</t>
        </r>
      </text>
    </comment>
    <comment ref="C1" authorId="0" shapeId="0" xr:uid="{447971CD-FA84-44F4-B4F2-1C098D9390BC}">
      <text>
        <r>
          <rPr>
            <b/>
            <sz val="9"/>
            <color indexed="81"/>
            <rFont val="Tahoma"/>
            <family val="2"/>
          </rPr>
          <t>Fryer, Joy:</t>
        </r>
        <r>
          <rPr>
            <sz val="9"/>
            <color indexed="81"/>
            <rFont val="Tahoma"/>
            <family val="2"/>
          </rPr>
          <t xml:space="preserve">
Retail Block price represents fee per block</t>
        </r>
      </text>
    </comment>
    <comment ref="D1" authorId="0" shapeId="0" xr:uid="{637BF8B8-08F0-4DDB-9EED-EFAFA5574905}">
      <text>
        <r>
          <rPr>
            <b/>
            <sz val="9"/>
            <color indexed="81"/>
            <rFont val="Tahoma"/>
            <family val="2"/>
          </rPr>
          <t>Fryer, Joy:</t>
        </r>
        <r>
          <rPr>
            <sz val="9"/>
            <color indexed="81"/>
            <rFont val="Tahoma"/>
            <family val="2"/>
          </rPr>
          <t xml:space="preserve">
kWh block size varies with options</t>
        </r>
      </text>
    </comment>
    <comment ref="F1" authorId="0" shapeId="0" xr:uid="{A486C7FD-A5C1-4A6B-AC88-669D16F700D4}">
      <text>
        <r>
          <rPr>
            <b/>
            <sz val="9"/>
            <color indexed="81"/>
            <rFont val="Tahoma"/>
            <family val="2"/>
          </rPr>
          <t>Fryer, Joy:</t>
        </r>
        <r>
          <rPr>
            <sz val="9"/>
            <color indexed="81"/>
            <rFont val="Tahoma"/>
            <family val="2"/>
          </rPr>
          <t xml:space="preserve">
Cost / kWh is estimated and target ceiling; expected cost ranges is REC / MWh</t>
        </r>
      </text>
    </comment>
    <comment ref="I1" authorId="0" shapeId="0" xr:uid="{0DC1AF84-5895-4D23-9F7C-60A88210CD84}">
      <text>
        <r>
          <rPr>
            <b/>
            <sz val="9"/>
            <color indexed="81"/>
            <rFont val="Tahoma"/>
            <family val="2"/>
          </rPr>
          <t>Fryer, Joy:</t>
        </r>
        <r>
          <rPr>
            <sz val="9"/>
            <color indexed="81"/>
            <rFont val="Tahoma"/>
            <family val="2"/>
          </rPr>
          <t xml:space="preserve">
Program admin costs are forecast based on historic costs and go-forward plans. </t>
        </r>
      </text>
    </comment>
    <comment ref="J1" authorId="0" shapeId="0" xr:uid="{0FB34F99-D1CD-481B-A7EC-EC1DAF61815B}">
      <text>
        <r>
          <rPr>
            <b/>
            <sz val="9"/>
            <color indexed="81"/>
            <rFont val="Tahoma"/>
            <family val="2"/>
          </rPr>
          <t>Fryer, Joy:</t>
        </r>
        <r>
          <rPr>
            <sz val="9"/>
            <color indexed="81"/>
            <rFont val="Tahoma"/>
            <family val="2"/>
          </rPr>
          <t xml:space="preserve">
Revenue is estimated margin based on costs and price</t>
        </r>
      </text>
    </comment>
    <comment ref="L1" authorId="0" shapeId="0" xr:uid="{81063B82-B8FE-44A7-9A21-315B1FE09066}">
      <text>
        <r>
          <rPr>
            <b/>
            <sz val="9"/>
            <color indexed="81"/>
            <rFont val="Tahoma"/>
            <charset val="1"/>
          </rPr>
          <t>Fryer, Joy:</t>
        </r>
        <r>
          <rPr>
            <sz val="9"/>
            <color indexed="81"/>
            <rFont val="Tahoma"/>
            <charset val="1"/>
          </rPr>
          <t xml:space="preserve">
The potential grant funds represent the additional revenue expected if the costs per REC meet the targeted price ceiling (shown in the cost kWh). This target would be an annualized goal, versus a per transaction goal to accommodate for price fluctuation in the market.</t>
        </r>
      </text>
    </comment>
    <comment ref="K2" authorId="0" shapeId="0" xr:uid="{8664DC49-5576-4C55-8D56-3CCCAA6CC3A6}">
      <text>
        <r>
          <rPr>
            <b/>
            <sz val="9"/>
            <color indexed="81"/>
            <rFont val="Tahoma"/>
            <charset val="1"/>
          </rPr>
          <t>Fryer, Joy:</t>
        </r>
        <r>
          <rPr>
            <sz val="9"/>
            <color indexed="81"/>
            <rFont val="Tahoma"/>
            <charset val="1"/>
          </rPr>
          <t xml:space="preserve">
2020 blocks converted from 300 to 100 with same dollars subscribed
</t>
        </r>
      </text>
    </comment>
    <comment ref="K3" authorId="0" shapeId="0" xr:uid="{9483054F-5572-4912-A250-818357D688E6}">
      <text>
        <r>
          <rPr>
            <b/>
            <sz val="9"/>
            <color indexed="81"/>
            <rFont val="Tahoma"/>
            <charset val="1"/>
          </rPr>
          <t>Fryer, Joy:</t>
        </r>
        <r>
          <rPr>
            <sz val="9"/>
            <color indexed="81"/>
            <rFont val="Tahoma"/>
            <charset val="1"/>
          </rPr>
          <t xml:space="preserve">
2020 blocks converted from 300 to 100 with same dollars subscribed
</t>
        </r>
      </text>
    </comment>
    <comment ref="K4" authorId="0" shapeId="0" xr:uid="{46352A4B-0362-47C5-B4D8-80FF15E6EBCA}">
      <text>
        <r>
          <rPr>
            <b/>
            <sz val="9"/>
            <color indexed="81"/>
            <rFont val="Tahoma"/>
            <charset val="1"/>
          </rPr>
          <t>Fryer, Joy:</t>
        </r>
        <r>
          <rPr>
            <sz val="9"/>
            <color indexed="81"/>
            <rFont val="Tahoma"/>
            <charset val="1"/>
          </rPr>
          <t xml:space="preserve">
2020 blocks converted from 300 to 100 with same dollars subscribed
</t>
        </r>
      </text>
    </comment>
    <comment ref="K5" authorId="0" shapeId="0" xr:uid="{A354093D-4582-4BE2-9EA2-CD91972B06DB}">
      <text>
        <r>
          <rPr>
            <b/>
            <sz val="9"/>
            <color indexed="81"/>
            <rFont val="Tahoma"/>
            <family val="2"/>
          </rPr>
          <t>Fryer, Joy:</t>
        </r>
        <r>
          <rPr>
            <sz val="9"/>
            <color indexed="81"/>
            <rFont val="Tahoma"/>
            <family val="2"/>
          </rPr>
          <t xml:space="preserve">
Annual kWh reduced in regional models because block size is 100 kWh versus 300 kWh</t>
        </r>
      </text>
    </comment>
  </commentList>
</comments>
</file>

<file path=xl/sharedStrings.xml><?xml version="1.0" encoding="utf-8"?>
<sst xmlns="http://schemas.openxmlformats.org/spreadsheetml/2006/main" count="172" uniqueCount="78">
  <si>
    <t xml:space="preserve">2022 Forecasted Budget </t>
  </si>
  <si>
    <t xml:space="preserve">Revenues </t>
  </si>
  <si>
    <t>Notes and Assumptions</t>
  </si>
  <si>
    <t>Total Revenues</t>
  </si>
  <si>
    <t>Expenses</t>
  </si>
  <si>
    <t xml:space="preserve">    Program Admin</t>
  </si>
  <si>
    <t xml:space="preserve">    Communication, Education, Outreach</t>
  </si>
  <si>
    <t xml:space="preserve">    Total Expenses</t>
  </si>
  <si>
    <t>Net Program Income/Operating Reserves</t>
  </si>
  <si>
    <t xml:space="preserve">Renewable Natural Gas Program </t>
  </si>
  <si>
    <t>RNG Sales Revenue</t>
  </si>
  <si>
    <t xml:space="preserve"> RNG Purchases</t>
  </si>
  <si>
    <t>carryover annual unless balance exceeds maximum threshold. Fund LI something?</t>
  </si>
  <si>
    <t xml:space="preserve">    IT Development</t>
  </si>
  <si>
    <t>MVP - web page, online enrollment form (not integrated with backoffice), billing system configuration and bill presentment</t>
  </si>
  <si>
    <t>15% of program revenue, consistent with average % of MCE; includes $2,200 MRETs General Subscription fee</t>
  </si>
  <si>
    <t>Up to 15% of program revenue, compared to previous years of 10% of program revenue</t>
  </si>
  <si>
    <t>RNG at $24.00 Dth or $2.40 / therm* no minimum volume requirement, cost will flex with program not to exceed annual maximum of 73,000 Dth</t>
  </si>
  <si>
    <t>Volume to flex with RNG purchases. Unbundle fuel estimate $2.00/Dth or $0.20 / therm</t>
  </si>
  <si>
    <t xml:space="preserve">    Unbundle Commodity </t>
  </si>
  <si>
    <t xml:space="preserve">$5.00 per block of RNG; By year 5 - Assumes 49500 RNG blocks sold annually based on My Clean Energy participation + 1/2 of tranport potential. Slow adoption is anticipated, time to ramp will be slow. </t>
  </si>
  <si>
    <t xml:space="preserve">Forecasted Budget </t>
  </si>
  <si>
    <t>Up to 15% of program revenue, consistent with average % of MCE</t>
  </si>
  <si>
    <t>Net Annual Program Income/Operating Reserves</t>
  </si>
  <si>
    <t>Net Total Program Income/Operating Reserves</t>
  </si>
  <si>
    <t>My Clean Energy</t>
  </si>
  <si>
    <t>MCE - Regional Sales Revenue</t>
  </si>
  <si>
    <t>MCE - National Sales Revenue</t>
  </si>
  <si>
    <t>MCE - 100% Sales Revenue</t>
  </si>
  <si>
    <t>100% REC Demand  (Regional Blocks - 100 kwh)</t>
  </si>
  <si>
    <t>National - Block (300 kwh)</t>
  </si>
  <si>
    <t>Regional - Block (100 kwh)</t>
  </si>
  <si>
    <t>National - RECs (300 kwh Block/1000 kWh)</t>
  </si>
  <si>
    <t>Regional - RECs (100 kwh/1000 kWh)</t>
  </si>
  <si>
    <t>FORECAST (includes 3% annual growth)</t>
  </si>
  <si>
    <t>National REC Purchases</t>
  </si>
  <si>
    <t>Regional and Match REC Purchases</t>
  </si>
  <si>
    <t>100% Match (kWh forecast based on avg monthly YTD)</t>
  </si>
  <si>
    <t xml:space="preserve">    Communication, Education, Outreach - non labor</t>
  </si>
  <si>
    <t>Carryover annual to balance year-over-year program performance unless balance exceeds maximum threshold. At which time, we will seek to fund non-profit community solar</t>
  </si>
  <si>
    <t>Revenue</t>
  </si>
  <si>
    <t>National - Block (100 kwh)</t>
  </si>
  <si>
    <t>National - RECs (100 kwh Block/1000 kWh)</t>
  </si>
  <si>
    <t>Block subscriptions expected to stay at current dollar thresehold per subscriber and 100% Renewable option will stay flat in 2021 due to customer churn from price increase, but then grow 3% year over year.</t>
  </si>
  <si>
    <t>100% REC Demand  (1000 kWh per REC)</t>
  </si>
  <si>
    <t>100% RE Demand  (1000 kWh per REC)</t>
  </si>
  <si>
    <t xml:space="preserve">My Clean Energy Program </t>
  </si>
  <si>
    <t xml:space="preserve">    National REC Sales Revenue</t>
  </si>
  <si>
    <t xml:space="preserve">Majority of current participants will not move initially and volume will remain relatively flat while we promote additional program options. </t>
  </si>
  <si>
    <t xml:space="preserve">    Regional REC Sales Revenue </t>
  </si>
  <si>
    <t>Slow adoption in 2020 with participant growth split between regional and national option, skewing regional.</t>
  </si>
  <si>
    <t xml:space="preserve">    National REC Purchases</t>
  </si>
  <si>
    <t xml:space="preserve">    Regional REC Purchses</t>
  </si>
  <si>
    <t xml:space="preserve">    100% Renewable Sales Revenue</t>
  </si>
  <si>
    <t>up to 15% of program revenue, compared to previous years of 10% of program revenue</t>
  </si>
  <si>
    <t>National RECs at $6.00 average annual cost ceiling (worse case)</t>
  </si>
  <si>
    <t>Regional RECs at $6.00 average participant value based on 2021 trending data and anticipated demands</t>
  </si>
  <si>
    <t>up to 15% of program revenue, consistent with average % from past</t>
  </si>
  <si>
    <t>Program Option</t>
  </si>
  <si>
    <t>Retail Rate / kWh</t>
  </si>
  <si>
    <t>Retail Block Price</t>
  </si>
  <si>
    <t>kWh block sz</t>
  </si>
  <si>
    <t>Cost / kWh</t>
  </si>
  <si>
    <t>Avg REC/MWh</t>
  </si>
  <si>
    <t>Program Admin Costs</t>
  </si>
  <si>
    <t>Annual kWh</t>
  </si>
  <si>
    <t>Potential Grant Funds</t>
  </si>
  <si>
    <t>REC Cost Assumptions</t>
  </si>
  <si>
    <t>National Scenario A</t>
  </si>
  <si>
    <t>kwh</t>
  </si>
  <si>
    <t>MWh</t>
  </si>
  <si>
    <t>National Scenario B</t>
  </si>
  <si>
    <t>National Scenario C</t>
  </si>
  <si>
    <t>Regional Scenario A</t>
  </si>
  <si>
    <t>Regional Scenario B</t>
  </si>
  <si>
    <t>Regional Scenario C</t>
  </si>
  <si>
    <t>NATIONAL -  Avista continues to seek the lowest price across the nation for qualifying RECs and has a goal of maintaining $5.00 average price point or below.</t>
  </si>
  <si>
    <t xml:space="preserve">REGIONAL –  Avista expects prices to remain relatively steady at this high price point for the next few years due to the implementation of the clean energy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</si>
</sst>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00_);_(&quot;$&quot;* \(#,##0.0000\);_(&quot;$&quot;* &quot;-&quot;??_);_(@_)"/>
    <numFmt numFmtId="167" formatCode="_(&quot;$&quot;* #,##0.000_);_(&quot;$&quot;* \(#,##0.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i/>
      <sz val="11"/>
      <color theme="1"/>
      <name val="Calibri"/>
      <family val="2"/>
      <scheme val="minor"/>
    </font>
    <font>
      <sz val="9"/>
      <color indexed="81"/>
      <name val="Tahoma"/>
      <charset val="1"/>
    </font>
    <font>
      <b/>
      <sz val="11"/>
      <color rgb="FF000000"/>
      <name val="Calibri"/>
      <family val="2"/>
    </font>
    <font>
      <b/>
      <sz val="9"/>
      <color indexed="81"/>
      <name val="Tahoma"/>
      <family val="2"/>
    </font>
    <font>
      <sz val="9"/>
      <color indexed="81"/>
      <name val="Tahoma"/>
      <family val="2"/>
    </font>
    <font>
      <b/>
      <sz val="9"/>
      <color indexed="81"/>
      <name val="Tahoma"/>
      <charset val="1"/>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44" fontId="0" fillId="0" borderId="0" xfId="2" applyFont="1"/>
    <xf numFmtId="44" fontId="0" fillId="0" borderId="0" xfId="0" applyNumberFormat="1"/>
    <xf numFmtId="0" fontId="4" fillId="0" borderId="0" xfId="0" applyFont="1"/>
    <xf numFmtId="44" fontId="0" fillId="0" borderId="1" xfId="0" applyNumberFormat="1" applyBorder="1"/>
    <xf numFmtId="0" fontId="3" fillId="0" borderId="0" xfId="0" applyFont="1" applyAlignment="1">
      <alignment horizontal="center"/>
    </xf>
    <xf numFmtId="0" fontId="0" fillId="0" borderId="0" xfId="0" applyAlignment="1">
      <alignment wrapText="1"/>
    </xf>
    <xf numFmtId="0" fontId="2" fillId="0" borderId="0" xfId="0" applyFont="1" applyAlignment="1">
      <alignment horizontal="center" wrapText="1"/>
    </xf>
    <xf numFmtId="1" fontId="0" fillId="0" borderId="0" xfId="0" applyNumberFormat="1" applyAlignment="1">
      <alignment wrapText="1"/>
    </xf>
    <xf numFmtId="0" fontId="2" fillId="0" borderId="0" xfId="0" applyFont="1"/>
    <xf numFmtId="164" fontId="0" fillId="0" borderId="0" xfId="1" applyNumberFormat="1" applyFont="1"/>
    <xf numFmtId="0" fontId="3" fillId="0" borderId="0" xfId="0" applyFont="1" applyAlignment="1">
      <alignment horizontal="center"/>
    </xf>
    <xf numFmtId="8" fontId="0" fillId="0" borderId="0" xfId="2" applyNumberFormat="1" applyFont="1"/>
    <xf numFmtId="0" fontId="5" fillId="0" borderId="0" xfId="0" applyFont="1"/>
    <xf numFmtId="0" fontId="5" fillId="0" borderId="0" xfId="0" applyFont="1" applyAlignment="1">
      <alignment wrapText="1"/>
    </xf>
    <xf numFmtId="0" fontId="2" fillId="0" borderId="0" xfId="0" applyFont="1" applyAlignment="1">
      <alignment wrapText="1"/>
    </xf>
    <xf numFmtId="164" fontId="0" fillId="0" borderId="0" xfId="1" applyNumberFormat="1" applyFont="1" applyFill="1"/>
    <xf numFmtId="44" fontId="1" fillId="0" borderId="0" xfId="2" applyFont="1"/>
    <xf numFmtId="0" fontId="3" fillId="0" borderId="0" xfId="0" applyFont="1" applyAlignment="1">
      <alignment horizontal="center"/>
    </xf>
    <xf numFmtId="43" fontId="0" fillId="0" borderId="0" xfId="0" applyNumberFormat="1"/>
    <xf numFmtId="165" fontId="0" fillId="0" borderId="0" xfId="2" applyNumberFormat="1" applyFont="1"/>
    <xf numFmtId="0" fontId="0" fillId="0" borderId="2" xfId="0" applyBorder="1"/>
    <xf numFmtId="164" fontId="0" fillId="0" borderId="2" xfId="1" applyNumberFormat="1" applyFont="1" applyFill="1" applyBorder="1"/>
    <xf numFmtId="164" fontId="0" fillId="0" borderId="2" xfId="1" applyNumberFormat="1" applyFont="1" applyBorder="1"/>
    <xf numFmtId="0" fontId="0" fillId="0" borderId="0" xfId="0" applyFill="1"/>
    <xf numFmtId="0" fontId="0" fillId="0" borderId="0" xfId="0" applyFill="1" applyAlignment="1">
      <alignment wrapText="1"/>
    </xf>
    <xf numFmtId="0" fontId="0" fillId="0" borderId="2" xfId="0" applyFill="1" applyBorder="1"/>
    <xf numFmtId="44" fontId="4" fillId="0" borderId="0" xfId="0" applyNumberFormat="1" applyFont="1"/>
    <xf numFmtId="0" fontId="3" fillId="0" borderId="0" xfId="0" applyFont="1" applyAlignment="1">
      <alignment horizontal="center"/>
    </xf>
    <xf numFmtId="1" fontId="0" fillId="0" borderId="0" xfId="0" applyNumberFormat="1"/>
    <xf numFmtId="44" fontId="0" fillId="0" borderId="0" xfId="2" applyFont="1" applyBorder="1"/>
    <xf numFmtId="44" fontId="0" fillId="0" borderId="2" xfId="2" applyFont="1" applyBorder="1"/>
    <xf numFmtId="0" fontId="2" fillId="0" borderId="0" xfId="0" applyFont="1" applyAlignment="1">
      <alignment horizontal="center"/>
    </xf>
    <xf numFmtId="0" fontId="7" fillId="0" borderId="10" xfId="0" applyFont="1" applyBorder="1" applyAlignment="1">
      <alignment horizontal="left" wrapText="1"/>
    </xf>
    <xf numFmtId="0" fontId="7" fillId="0" borderId="11" xfId="0" applyFont="1" applyBorder="1" applyAlignment="1">
      <alignment horizontal="left" wrapText="1"/>
    </xf>
    <xf numFmtId="44" fontId="7" fillId="0" borderId="11" xfId="2" applyFont="1" applyFill="1" applyBorder="1" applyAlignment="1" applyProtection="1">
      <alignment horizontal="left" wrapText="1"/>
    </xf>
    <xf numFmtId="1" fontId="7" fillId="0" borderId="11" xfId="0" applyNumberFormat="1" applyFont="1" applyBorder="1" applyAlignment="1">
      <alignment horizontal="left" wrapText="1"/>
    </xf>
    <xf numFmtId="0" fontId="7" fillId="0" borderId="12" xfId="0" applyFont="1" applyBorder="1" applyAlignment="1">
      <alignment horizontal="left" wrapText="1"/>
    </xf>
    <xf numFmtId="44" fontId="0" fillId="0" borderId="0" xfId="2" applyFont="1" applyFill="1" applyBorder="1" applyAlignment="1" applyProtection="1">
      <alignment wrapText="1"/>
    </xf>
    <xf numFmtId="44" fontId="0" fillId="0" borderId="0" xfId="2" applyFont="1" applyFill="1" applyBorder="1" applyAlignment="1" applyProtection="1"/>
    <xf numFmtId="0" fontId="0" fillId="0" borderId="0" xfId="0" applyAlignment="1">
      <alignment vertical="top" wrapText="1"/>
    </xf>
    <xf numFmtId="0" fontId="0" fillId="0" borderId="3" xfId="0" applyBorder="1" applyAlignment="1">
      <alignment horizontal="left" wrapText="1"/>
    </xf>
    <xf numFmtId="44" fontId="0" fillId="0" borderId="4" xfId="2" applyFont="1" applyFill="1" applyBorder="1" applyAlignment="1" applyProtection="1">
      <alignment wrapText="1"/>
    </xf>
    <xf numFmtId="1" fontId="0" fillId="0" borderId="4" xfId="0" applyNumberFormat="1" applyBorder="1" applyAlignment="1">
      <alignment wrapText="1"/>
    </xf>
    <xf numFmtId="0" fontId="0" fillId="0" borderId="4" xfId="0" applyBorder="1" applyAlignment="1">
      <alignment wrapText="1"/>
    </xf>
    <xf numFmtId="44" fontId="0" fillId="0" borderId="5" xfId="0" applyNumberFormat="1" applyBorder="1" applyAlignment="1">
      <alignment wrapText="1"/>
    </xf>
    <xf numFmtId="0" fontId="0" fillId="0" borderId="6" xfId="0" applyBorder="1" applyAlignment="1">
      <alignment horizontal="left" wrapText="1"/>
    </xf>
    <xf numFmtId="1" fontId="0" fillId="0" borderId="0" xfId="0" applyNumberFormat="1" applyBorder="1" applyAlignment="1">
      <alignment wrapText="1"/>
    </xf>
    <xf numFmtId="0" fontId="0" fillId="0" borderId="0" xfId="0" applyBorder="1" applyAlignment="1">
      <alignment wrapText="1"/>
    </xf>
    <xf numFmtId="44" fontId="0" fillId="0" borderId="7" xfId="0" applyNumberFormat="1" applyBorder="1" applyAlignment="1">
      <alignment wrapText="1"/>
    </xf>
    <xf numFmtId="0" fontId="0" fillId="0" borderId="8" xfId="0" applyBorder="1" applyAlignment="1">
      <alignment horizontal="left" wrapText="1"/>
    </xf>
    <xf numFmtId="44" fontId="0" fillId="0" borderId="2" xfId="2" applyFont="1" applyFill="1" applyBorder="1" applyAlignment="1" applyProtection="1">
      <alignment wrapText="1"/>
    </xf>
    <xf numFmtId="1" fontId="0" fillId="0" borderId="2" xfId="0" applyNumberFormat="1" applyBorder="1" applyAlignment="1">
      <alignment wrapText="1"/>
    </xf>
    <xf numFmtId="0" fontId="0" fillId="0" borderId="2" xfId="0" applyBorder="1" applyAlignment="1">
      <alignment wrapText="1"/>
    </xf>
    <xf numFmtId="44" fontId="0" fillId="0" borderId="9" xfId="0" applyNumberFormat="1" applyBorder="1" applyAlignment="1">
      <alignment wrapText="1"/>
    </xf>
    <xf numFmtId="44" fontId="0" fillId="0" borderId="4" xfId="2" applyFont="1" applyBorder="1" applyAlignment="1">
      <alignment wrapText="1"/>
    </xf>
    <xf numFmtId="44" fontId="0" fillId="0" borderId="0" xfId="2" applyFont="1" applyBorder="1" applyAlignment="1">
      <alignment wrapText="1"/>
    </xf>
    <xf numFmtId="44" fontId="0" fillId="0" borderId="2" xfId="2" applyFont="1" applyBorder="1" applyAlignment="1">
      <alignment wrapText="1"/>
    </xf>
    <xf numFmtId="167" fontId="0" fillId="0" borderId="4" xfId="2" applyNumberFormat="1" applyFont="1" applyBorder="1" applyAlignment="1">
      <alignment wrapText="1"/>
    </xf>
    <xf numFmtId="167" fontId="0" fillId="0" borderId="0" xfId="2" applyNumberFormat="1" applyFont="1" applyBorder="1" applyAlignment="1">
      <alignment wrapText="1"/>
    </xf>
    <xf numFmtId="167" fontId="0" fillId="0" borderId="2" xfId="2" applyNumberFormat="1" applyFont="1" applyBorder="1" applyAlignment="1">
      <alignment wrapText="1"/>
    </xf>
    <xf numFmtId="44" fontId="0" fillId="0" borderId="4" xfId="2" applyNumberFormat="1" applyFont="1" applyBorder="1" applyAlignment="1">
      <alignment wrapText="1"/>
    </xf>
    <xf numFmtId="44" fontId="0" fillId="0" borderId="0" xfId="2" applyNumberFormat="1" applyFont="1" applyBorder="1" applyAlignment="1">
      <alignment wrapText="1"/>
    </xf>
    <xf numFmtId="44" fontId="0" fillId="0" borderId="2" xfId="2" applyNumberFormat="1" applyFont="1" applyBorder="1" applyAlignment="1">
      <alignment wrapText="1"/>
    </xf>
    <xf numFmtId="166" fontId="0" fillId="0" borderId="4" xfId="2" applyNumberFormat="1" applyFont="1" applyBorder="1" applyAlignment="1">
      <alignment wrapText="1"/>
    </xf>
    <xf numFmtId="166" fontId="0" fillId="0" borderId="0" xfId="2" applyNumberFormat="1" applyFont="1" applyBorder="1" applyAlignment="1">
      <alignment wrapText="1"/>
    </xf>
    <xf numFmtId="166" fontId="0" fillId="0" borderId="2" xfId="2" applyNumberFormat="1" applyFont="1" applyBorder="1" applyAlignment="1">
      <alignment wrapText="1"/>
    </xf>
    <xf numFmtId="164" fontId="0" fillId="0" borderId="4" xfId="1" applyNumberFormat="1" applyFont="1" applyFill="1" applyBorder="1" applyAlignment="1" applyProtection="1">
      <alignment wrapText="1"/>
    </xf>
    <xf numFmtId="164" fontId="0" fillId="0" borderId="0" xfId="1" applyNumberFormat="1" applyFont="1" applyFill="1" applyBorder="1" applyAlignment="1" applyProtection="1">
      <alignment wrapText="1"/>
    </xf>
    <xf numFmtId="164" fontId="0" fillId="0" borderId="2" xfId="1" applyNumberFormat="1" applyFont="1" applyFill="1" applyBorder="1" applyAlignment="1" applyProtection="1">
      <alignment wrapText="1"/>
    </xf>
    <xf numFmtId="164" fontId="0" fillId="0" borderId="4" xfId="1" applyNumberFormat="1" applyFont="1" applyBorder="1" applyAlignment="1">
      <alignment wrapText="1"/>
    </xf>
    <xf numFmtId="164" fontId="0" fillId="0" borderId="0" xfId="1" applyNumberFormat="1" applyFont="1" applyBorder="1" applyAlignment="1">
      <alignment wrapText="1"/>
    </xf>
    <xf numFmtId="164" fontId="0" fillId="0" borderId="2" xfId="1" applyNumberFormat="1" applyFont="1" applyBorder="1" applyAlignment="1">
      <alignment wrapText="1"/>
    </xf>
    <xf numFmtId="0" fontId="0" fillId="0" borderId="0" xfId="0" applyAlignment="1">
      <alignment horizontal="left" wrapText="1"/>
    </xf>
    <xf numFmtId="43" fontId="0" fillId="0" borderId="0" xfId="0" applyNumberFormat="1" applyAlignment="1">
      <alignment horizontal="left"/>
    </xf>
    <xf numFmtId="0" fontId="0" fillId="0" borderId="0" xfId="0" applyAlignment="1">
      <alignment horizontal="left"/>
    </xf>
    <xf numFmtId="0" fontId="0" fillId="0" borderId="0" xfId="0" applyFill="1" applyAlignment="1">
      <alignment horizontal="left" wrapText="1"/>
    </xf>
    <xf numFmtId="0" fontId="0" fillId="0" borderId="0" xfId="0" applyFill="1" applyAlignment="1">
      <alignment horizontal="left"/>
    </xf>
    <xf numFmtId="0" fontId="5" fillId="0" borderId="0" xfId="0" applyFont="1" applyAlignment="1">
      <alignment horizontal="left" wrapText="1"/>
    </xf>
    <xf numFmtId="1" fontId="0" fillId="0" borderId="0" xfId="0" applyNumberFormat="1" applyAlignment="1">
      <alignment horizontal="left" wrapText="1"/>
    </xf>
    <xf numFmtId="0" fontId="3" fillId="0" borderId="0" xfId="0" applyFont="1" applyAlignment="1">
      <alignment horizontal="center"/>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190F4-C75E-4180-9B8E-419DBCAD90DF}">
  <dimension ref="A1:C20"/>
  <sheetViews>
    <sheetView workbookViewId="0">
      <selection activeCell="B4" sqref="B4"/>
    </sheetView>
  </sheetViews>
  <sheetFormatPr defaultRowHeight="14.25" x14ac:dyDescent="0.45"/>
  <cols>
    <col min="1" max="1" width="35" bestFit="1" customWidth="1"/>
    <col min="2" max="2" width="13.3984375" bestFit="1" customWidth="1"/>
    <col min="3" max="3" width="98.1328125" style="6" customWidth="1"/>
    <col min="4" max="4" width="8.86328125" customWidth="1"/>
  </cols>
  <sheetData>
    <row r="1" spans="1:3" ht="15.75" x14ac:dyDescent="0.5">
      <c r="A1" s="80" t="s">
        <v>0</v>
      </c>
      <c r="B1" s="80"/>
    </row>
    <row r="2" spans="1:3" ht="15.75" x14ac:dyDescent="0.5">
      <c r="A2" s="80" t="s">
        <v>9</v>
      </c>
      <c r="B2" s="80"/>
    </row>
    <row r="3" spans="1:3" x14ac:dyDescent="0.45">
      <c r="A3" s="3" t="s">
        <v>1</v>
      </c>
      <c r="C3" s="7" t="s">
        <v>2</v>
      </c>
    </row>
    <row r="4" spans="1:3" ht="28.5" x14ac:dyDescent="0.45">
      <c r="A4" t="s">
        <v>10</v>
      </c>
      <c r="B4" s="1">
        <f>5*49500</f>
        <v>247500</v>
      </c>
      <c r="C4" s="6" t="s">
        <v>20</v>
      </c>
    </row>
    <row r="5" spans="1:3" x14ac:dyDescent="0.45">
      <c r="A5" t="s">
        <v>3</v>
      </c>
      <c r="B5" s="4">
        <f>B4</f>
        <v>247500</v>
      </c>
    </row>
    <row r="7" spans="1:3" x14ac:dyDescent="0.45">
      <c r="A7" s="3" t="s">
        <v>4</v>
      </c>
    </row>
    <row r="8" spans="1:3" ht="28.5" x14ac:dyDescent="0.45">
      <c r="A8" t="s">
        <v>11</v>
      </c>
      <c r="B8" s="1">
        <f>((49500*1.5)*2.4)</f>
        <v>178200</v>
      </c>
      <c r="C8" s="6" t="s">
        <v>17</v>
      </c>
    </row>
    <row r="9" spans="1:3" x14ac:dyDescent="0.45">
      <c r="A9" t="s">
        <v>19</v>
      </c>
      <c r="B9" s="1">
        <f>-(49500*0.2)</f>
        <v>-9900</v>
      </c>
      <c r="C9" s="6" t="s">
        <v>18</v>
      </c>
    </row>
    <row r="10" spans="1:3" x14ac:dyDescent="0.45">
      <c r="A10" t="s">
        <v>5</v>
      </c>
      <c r="B10" s="1">
        <f>(B4)*0.15</f>
        <v>37125</v>
      </c>
      <c r="C10" s="6" t="s">
        <v>15</v>
      </c>
    </row>
    <row r="11" spans="1:3" x14ac:dyDescent="0.45">
      <c r="A11" t="s">
        <v>6</v>
      </c>
      <c r="B11" s="1">
        <f>(B4)*0.15</f>
        <v>37125</v>
      </c>
      <c r="C11" s="6" t="s">
        <v>16</v>
      </c>
    </row>
    <row r="12" spans="1:3" ht="28.5" x14ac:dyDescent="0.45">
      <c r="A12" t="s">
        <v>13</v>
      </c>
      <c r="B12" s="12">
        <v>13000</v>
      </c>
      <c r="C12" s="6" t="s">
        <v>14</v>
      </c>
    </row>
    <row r="13" spans="1:3" x14ac:dyDescent="0.45">
      <c r="A13" t="s">
        <v>7</v>
      </c>
      <c r="B13" s="4">
        <f>SUM(B8:B12)</f>
        <v>255550</v>
      </c>
    </row>
    <row r="15" spans="1:3" x14ac:dyDescent="0.45">
      <c r="A15" t="s">
        <v>8</v>
      </c>
      <c r="B15" s="2">
        <f>B5-B13</f>
        <v>-8050</v>
      </c>
      <c r="C15" s="6" t="s">
        <v>12</v>
      </c>
    </row>
    <row r="18" spans="2:3" x14ac:dyDescent="0.45">
      <c r="C18" s="8"/>
    </row>
    <row r="19" spans="2:3" x14ac:dyDescent="0.45">
      <c r="C19" s="8"/>
    </row>
    <row r="20" spans="2:3" x14ac:dyDescent="0.45">
      <c r="B20" s="2"/>
    </row>
  </sheetData>
  <mergeCells count="2">
    <mergeCell ref="A1:B1"/>
    <mergeCell ref="A2:B2"/>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7E927-2252-4762-894D-F6C4A3533E82}">
  <dimension ref="A1:N10"/>
  <sheetViews>
    <sheetView tabSelected="1" topLeftCell="F1" workbookViewId="0">
      <selection activeCell="N22" sqref="N22"/>
    </sheetView>
  </sheetViews>
  <sheetFormatPr defaultRowHeight="14.25" x14ac:dyDescent="0.45"/>
  <cols>
    <col min="1" max="1" width="18.73046875" bestFit="1" customWidth="1"/>
    <col min="2" max="2" width="6.3984375" bestFit="1" customWidth="1"/>
    <col min="3" max="3" width="6.59765625" bestFit="1" customWidth="1"/>
    <col min="4" max="4" width="7.86328125" bestFit="1" customWidth="1"/>
    <col min="5" max="5" width="5.1328125" bestFit="1" customWidth="1"/>
    <col min="6" max="6" width="7.3984375" bestFit="1" customWidth="1"/>
    <col min="7" max="7" width="10.1328125" bestFit="1" customWidth="1"/>
    <col min="8" max="8" width="5.73046875" bestFit="1" customWidth="1"/>
    <col min="9" max="9" width="8.3984375" bestFit="1" customWidth="1"/>
    <col min="10" max="10" width="8.86328125" bestFit="1" customWidth="1"/>
    <col min="11" max="11" width="11.86328125" bestFit="1" customWidth="1"/>
    <col min="12" max="12" width="11" bestFit="1" customWidth="1"/>
    <col min="14" max="14" width="58.59765625" customWidth="1"/>
  </cols>
  <sheetData>
    <row r="1" spans="1:14" ht="42.75" x14ac:dyDescent="0.45">
      <c r="A1" s="33" t="s">
        <v>58</v>
      </c>
      <c r="B1" s="34" t="s">
        <v>59</v>
      </c>
      <c r="C1" s="35" t="s">
        <v>60</v>
      </c>
      <c r="D1" s="36" t="s">
        <v>61</v>
      </c>
      <c r="E1" s="35"/>
      <c r="F1" s="34" t="s">
        <v>62</v>
      </c>
      <c r="G1" s="34" t="s">
        <v>63</v>
      </c>
      <c r="H1" s="34"/>
      <c r="I1" s="34" t="s">
        <v>64</v>
      </c>
      <c r="J1" s="34" t="s">
        <v>40</v>
      </c>
      <c r="K1" s="36" t="s">
        <v>65</v>
      </c>
      <c r="L1" s="37" t="s">
        <v>66</v>
      </c>
      <c r="N1" s="15" t="s">
        <v>67</v>
      </c>
    </row>
    <row r="2" spans="1:14" ht="58.15" customHeight="1" x14ac:dyDescent="0.45">
      <c r="A2" s="41" t="s">
        <v>68</v>
      </c>
      <c r="B2" s="61">
        <f t="shared" ref="B2:B7" si="0">C2/D2</f>
        <v>0.01</v>
      </c>
      <c r="C2" s="42">
        <v>1</v>
      </c>
      <c r="D2" s="43">
        <v>100</v>
      </c>
      <c r="E2" s="42" t="s">
        <v>69</v>
      </c>
      <c r="F2" s="58">
        <f>4/1000</f>
        <v>4.0000000000000001E-3</v>
      </c>
      <c r="G2" s="55">
        <v>4</v>
      </c>
      <c r="H2" s="44" t="s">
        <v>70</v>
      </c>
      <c r="I2" s="64">
        <f>B2*0.3</f>
        <v>3.0000000000000001E-3</v>
      </c>
      <c r="J2" s="64">
        <f>B2-F2-I2</f>
        <v>3.0000000000000001E-3</v>
      </c>
      <c r="K2" s="67">
        <f>'$5 MCE Forecast'!$B$5*100</f>
        <v>23137028.571428567</v>
      </c>
      <c r="L2" s="45">
        <f t="shared" ref="L2:L7" si="1">K2*J2</f>
        <v>69411.085714285698</v>
      </c>
      <c r="M2" s="6"/>
      <c r="N2" s="81" t="s">
        <v>76</v>
      </c>
    </row>
    <row r="3" spans="1:14" x14ac:dyDescent="0.45">
      <c r="A3" s="46" t="s">
        <v>71</v>
      </c>
      <c r="B3" s="62">
        <f t="shared" si="0"/>
        <v>0.01</v>
      </c>
      <c r="C3" s="38">
        <v>1</v>
      </c>
      <c r="D3" s="47">
        <v>100</v>
      </c>
      <c r="E3" s="38" t="s">
        <v>69</v>
      </c>
      <c r="F3" s="59">
        <f>5/1000</f>
        <v>5.0000000000000001E-3</v>
      </c>
      <c r="G3" s="56">
        <v>5</v>
      </c>
      <c r="H3" s="48" t="s">
        <v>70</v>
      </c>
      <c r="I3" s="65">
        <f>B3*0.3</f>
        <v>3.0000000000000001E-3</v>
      </c>
      <c r="J3" s="65">
        <f>B3-F3-I3</f>
        <v>2E-3</v>
      </c>
      <c r="K3" s="68">
        <f>'$5 MCE Forecast'!$B$5*100</f>
        <v>23137028.571428567</v>
      </c>
      <c r="L3" s="49">
        <f t="shared" si="1"/>
        <v>46274.057142857135</v>
      </c>
      <c r="M3" s="6"/>
      <c r="N3" s="81"/>
    </row>
    <row r="4" spans="1:14" x14ac:dyDescent="0.45">
      <c r="A4" s="50" t="s">
        <v>72</v>
      </c>
      <c r="B4" s="63">
        <f t="shared" si="0"/>
        <v>0.01</v>
      </c>
      <c r="C4" s="51">
        <v>1</v>
      </c>
      <c r="D4" s="52">
        <v>100</v>
      </c>
      <c r="E4" s="51" t="s">
        <v>69</v>
      </c>
      <c r="F4" s="60">
        <f>6/1000</f>
        <v>6.0000000000000001E-3</v>
      </c>
      <c r="G4" s="57">
        <v>6</v>
      </c>
      <c r="H4" s="53" t="s">
        <v>70</v>
      </c>
      <c r="I4" s="66">
        <f>B4*0.3</f>
        <v>3.0000000000000001E-3</v>
      </c>
      <c r="J4" s="66">
        <f>B4-F4-I4</f>
        <v>1E-3</v>
      </c>
      <c r="K4" s="69">
        <f>'$5 MCE Forecast'!$B$5*100</f>
        <v>23137028.571428567</v>
      </c>
      <c r="L4" s="54">
        <f t="shared" si="1"/>
        <v>23137.028571428567</v>
      </c>
      <c r="M4" s="6"/>
      <c r="N4" s="81"/>
    </row>
    <row r="5" spans="1:14" ht="43.5" customHeight="1" x14ac:dyDescent="0.45">
      <c r="A5" s="41" t="s">
        <v>73</v>
      </c>
      <c r="B5" s="61">
        <f t="shared" si="0"/>
        <v>1.3000000000000001E-2</v>
      </c>
      <c r="C5" s="42">
        <v>1.3</v>
      </c>
      <c r="D5" s="43">
        <v>100</v>
      </c>
      <c r="E5" s="42" t="s">
        <v>69</v>
      </c>
      <c r="F5" s="58">
        <f>4/1000</f>
        <v>4.0000000000000001E-3</v>
      </c>
      <c r="G5" s="55">
        <v>4</v>
      </c>
      <c r="H5" s="44" t="s">
        <v>70</v>
      </c>
      <c r="I5" s="64">
        <f t="shared" ref="I5:I7" si="2">B5*0.3</f>
        <v>3.9000000000000003E-3</v>
      </c>
      <c r="J5" s="64">
        <f t="shared" ref="J5:J7" si="3">B5-F5-I5</f>
        <v>5.1000000000000004E-3</v>
      </c>
      <c r="K5" s="70">
        <f>'$5 MCE Forecast'!$B$7*100</f>
        <v>2139428.5714285714</v>
      </c>
      <c r="L5" s="45">
        <f t="shared" si="1"/>
        <v>10911.085714285715</v>
      </c>
      <c r="M5" s="6"/>
      <c r="N5" s="82" t="s">
        <v>77</v>
      </c>
    </row>
    <row r="6" spans="1:14" x14ac:dyDescent="0.45">
      <c r="A6" s="46" t="s">
        <v>74</v>
      </c>
      <c r="B6" s="62">
        <f t="shared" si="0"/>
        <v>1.3000000000000001E-2</v>
      </c>
      <c r="C6" s="38">
        <v>1.3</v>
      </c>
      <c r="D6" s="47">
        <v>100</v>
      </c>
      <c r="E6" s="38" t="s">
        <v>69</v>
      </c>
      <c r="F6" s="59">
        <f>5/1000</f>
        <v>5.0000000000000001E-3</v>
      </c>
      <c r="G6" s="56">
        <v>5</v>
      </c>
      <c r="H6" s="48" t="s">
        <v>70</v>
      </c>
      <c r="I6" s="65">
        <f t="shared" si="2"/>
        <v>3.9000000000000003E-3</v>
      </c>
      <c r="J6" s="65">
        <f t="shared" si="3"/>
        <v>4.0999999999999995E-3</v>
      </c>
      <c r="K6" s="71">
        <f>K5</f>
        <v>2139428.5714285714</v>
      </c>
      <c r="L6" s="49">
        <f t="shared" si="1"/>
        <v>8771.6571428571406</v>
      </c>
      <c r="M6" s="6"/>
      <c r="N6" s="82"/>
    </row>
    <row r="7" spans="1:14" x14ac:dyDescent="0.45">
      <c r="A7" s="50" t="s">
        <v>75</v>
      </c>
      <c r="B7" s="63">
        <f t="shared" si="0"/>
        <v>1.3000000000000001E-2</v>
      </c>
      <c r="C7" s="51">
        <v>1.3</v>
      </c>
      <c r="D7" s="52">
        <v>100</v>
      </c>
      <c r="E7" s="51" t="s">
        <v>69</v>
      </c>
      <c r="F7" s="60">
        <f>6/1000</f>
        <v>6.0000000000000001E-3</v>
      </c>
      <c r="G7" s="57">
        <v>6</v>
      </c>
      <c r="H7" s="53" t="s">
        <v>70</v>
      </c>
      <c r="I7" s="66">
        <f t="shared" si="2"/>
        <v>3.9000000000000003E-3</v>
      </c>
      <c r="J7" s="66">
        <f t="shared" si="3"/>
        <v>3.1000000000000008E-3</v>
      </c>
      <c r="K7" s="72">
        <f>K6</f>
        <v>2139428.5714285714</v>
      </c>
      <c r="L7" s="54">
        <f t="shared" si="1"/>
        <v>6632.2285714285726</v>
      </c>
      <c r="M7" s="6"/>
      <c r="N7" s="82"/>
    </row>
    <row r="8" spans="1:14" x14ac:dyDescent="0.45">
      <c r="C8" s="39"/>
      <c r="D8" s="29"/>
      <c r="E8" s="39"/>
      <c r="K8" s="29"/>
      <c r="N8" s="40"/>
    </row>
    <row r="9" spans="1:14" x14ac:dyDescent="0.45">
      <c r="C9" s="39"/>
      <c r="D9" s="29"/>
      <c r="E9" s="39"/>
      <c r="K9" s="29"/>
      <c r="N9" s="40"/>
    </row>
    <row r="10" spans="1:14" x14ac:dyDescent="0.45">
      <c r="C10" s="39"/>
      <c r="D10" s="29"/>
      <c r="E10" s="39"/>
      <c r="K10" s="29"/>
      <c r="N10" s="40"/>
    </row>
  </sheetData>
  <mergeCells count="2">
    <mergeCell ref="N2:N4"/>
    <mergeCell ref="N5:N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0E38A-C42D-4C71-B5D6-F2F7D37D31A1}">
  <dimension ref="A1:C20"/>
  <sheetViews>
    <sheetView workbookViewId="0">
      <selection activeCell="A29" sqref="A29"/>
    </sheetView>
  </sheetViews>
  <sheetFormatPr defaultRowHeight="14.25" x14ac:dyDescent="0.45"/>
  <cols>
    <col min="1" max="1" width="35" bestFit="1" customWidth="1"/>
    <col min="2" max="2" width="13.3984375" bestFit="1" customWidth="1"/>
    <col min="3" max="3" width="147.265625" bestFit="1" customWidth="1"/>
    <col min="4" max="4" width="9" customWidth="1"/>
  </cols>
  <sheetData>
    <row r="1" spans="1:3" ht="15.75" x14ac:dyDescent="0.5">
      <c r="A1" s="80" t="s">
        <v>0</v>
      </c>
      <c r="B1" s="80"/>
    </row>
    <row r="2" spans="1:3" ht="15.75" x14ac:dyDescent="0.5">
      <c r="A2" s="80" t="s">
        <v>46</v>
      </c>
      <c r="B2" s="80"/>
    </row>
    <row r="3" spans="1:3" x14ac:dyDescent="0.45">
      <c r="A3" s="3" t="s">
        <v>1</v>
      </c>
      <c r="C3" s="32" t="s">
        <v>2</v>
      </c>
    </row>
    <row r="4" spans="1:3" x14ac:dyDescent="0.45">
      <c r="A4" t="s">
        <v>47</v>
      </c>
      <c r="B4" s="1">
        <v>238311</v>
      </c>
      <c r="C4" t="s">
        <v>48</v>
      </c>
    </row>
    <row r="5" spans="1:3" x14ac:dyDescent="0.45">
      <c r="A5" t="s">
        <v>49</v>
      </c>
      <c r="B5" s="30">
        <v>28647</v>
      </c>
      <c r="C5" t="s">
        <v>50</v>
      </c>
    </row>
    <row r="6" spans="1:3" x14ac:dyDescent="0.45">
      <c r="A6" t="s">
        <v>53</v>
      </c>
      <c r="B6" s="31">
        <v>731</v>
      </c>
    </row>
    <row r="7" spans="1:3" x14ac:dyDescent="0.45">
      <c r="A7" t="s">
        <v>3</v>
      </c>
      <c r="B7" s="4">
        <f>B4+B5+B6</f>
        <v>267689</v>
      </c>
    </row>
    <row r="9" spans="1:3" x14ac:dyDescent="0.45">
      <c r="A9" s="3" t="s">
        <v>4</v>
      </c>
    </row>
    <row r="10" spans="1:3" x14ac:dyDescent="0.45">
      <c r="A10" t="s">
        <v>51</v>
      </c>
      <c r="B10" s="1">
        <f>'$5 MCE Forecast'!C12*-6</f>
        <v>-142986.83657142858</v>
      </c>
      <c r="C10" t="s">
        <v>55</v>
      </c>
    </row>
    <row r="11" spans="1:3" x14ac:dyDescent="0.45">
      <c r="A11" t="s">
        <v>52</v>
      </c>
      <c r="B11" s="1">
        <f>'$5 MCE Forecast'!C14*-6</f>
        <v>-13221.66857142857</v>
      </c>
      <c r="C11" t="s">
        <v>56</v>
      </c>
    </row>
    <row r="12" spans="1:3" x14ac:dyDescent="0.45">
      <c r="A12" t="s">
        <v>5</v>
      </c>
      <c r="B12" s="1">
        <f>(B4+B5+B6)*-0.15</f>
        <v>-40153.35</v>
      </c>
      <c r="C12" t="s">
        <v>57</v>
      </c>
    </row>
    <row r="13" spans="1:3" x14ac:dyDescent="0.45">
      <c r="A13" t="s">
        <v>6</v>
      </c>
      <c r="B13" s="1">
        <f>(B7)*-0.15</f>
        <v>-40153.35</v>
      </c>
      <c r="C13" t="s">
        <v>54</v>
      </c>
    </row>
    <row r="14" spans="1:3" x14ac:dyDescent="0.45">
      <c r="A14" t="s">
        <v>7</v>
      </c>
      <c r="B14" s="4">
        <f>SUM(B10:B13)</f>
        <v>-236515.20514285716</v>
      </c>
    </row>
    <row r="16" spans="1:3" x14ac:dyDescent="0.45">
      <c r="A16" t="s">
        <v>8</v>
      </c>
      <c r="B16" s="2">
        <f>B7+B14</f>
        <v>31173.794857142842</v>
      </c>
    </row>
    <row r="19" spans="3:3" x14ac:dyDescent="0.45">
      <c r="C19" s="29"/>
    </row>
    <row r="20" spans="3:3" x14ac:dyDescent="0.45">
      <c r="C20" s="29"/>
    </row>
  </sheetData>
  <mergeCells count="2">
    <mergeCell ref="A1:B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C121-975A-428C-AE73-9583C57AFC91}">
  <dimension ref="A1:H37"/>
  <sheetViews>
    <sheetView zoomScaleNormal="100" workbookViewId="0">
      <selection activeCell="B38" sqref="B38"/>
    </sheetView>
  </sheetViews>
  <sheetFormatPr defaultRowHeight="14.25" x14ac:dyDescent="0.45"/>
  <cols>
    <col min="1" max="1" width="49.59765625" bestFit="1" customWidth="1"/>
    <col min="2" max="2" width="13.3984375" bestFit="1" customWidth="1"/>
    <col min="3" max="7" width="12.59765625" bestFit="1" customWidth="1"/>
    <col min="8" max="8" width="94.1328125" style="6" customWidth="1"/>
    <col min="9" max="9" width="8.86328125" customWidth="1"/>
  </cols>
  <sheetData>
    <row r="1" spans="1:8" ht="15.75" x14ac:dyDescent="0.5">
      <c r="A1" s="80" t="s">
        <v>21</v>
      </c>
      <c r="B1" s="80"/>
      <c r="C1" s="80"/>
      <c r="D1" s="28"/>
      <c r="E1" s="28"/>
      <c r="F1" s="28"/>
      <c r="G1" s="28"/>
    </row>
    <row r="2" spans="1:8" ht="15.75" x14ac:dyDescent="0.5">
      <c r="A2" s="80" t="s">
        <v>25</v>
      </c>
      <c r="B2" s="80"/>
      <c r="C2" s="80"/>
      <c r="D2" s="28"/>
      <c r="E2" s="28"/>
      <c r="F2" s="28"/>
      <c r="G2" s="28"/>
    </row>
    <row r="3" spans="1:8" ht="15.75" x14ac:dyDescent="0.5">
      <c r="A3" s="28"/>
      <c r="B3" s="80" t="s">
        <v>34</v>
      </c>
      <c r="C3" s="80"/>
      <c r="D3" s="80"/>
      <c r="E3" s="80"/>
      <c r="F3" s="28"/>
      <c r="G3" s="28"/>
    </row>
    <row r="4" spans="1:8" ht="15.75" x14ac:dyDescent="0.5">
      <c r="A4" s="28"/>
      <c r="B4" s="9">
        <v>2021</v>
      </c>
      <c r="C4" s="9">
        <v>2022</v>
      </c>
      <c r="D4" s="9">
        <v>2023</v>
      </c>
      <c r="E4" s="9">
        <v>2024</v>
      </c>
      <c r="F4" s="9">
        <v>2025</v>
      </c>
      <c r="G4" s="9">
        <v>2026</v>
      </c>
    </row>
    <row r="5" spans="1:8" x14ac:dyDescent="0.45">
      <c r="A5" t="s">
        <v>30</v>
      </c>
      <c r="B5" s="10">
        <v>231370.28571428568</v>
      </c>
      <c r="C5" s="10"/>
      <c r="D5" s="10"/>
      <c r="E5" s="10"/>
      <c r="F5" s="10"/>
      <c r="G5" s="10"/>
    </row>
    <row r="6" spans="1:8" x14ac:dyDescent="0.45">
      <c r="A6" s="21" t="s">
        <v>32</v>
      </c>
      <c r="B6" s="23">
        <v>69411.085714285698</v>
      </c>
      <c r="C6" s="23"/>
      <c r="D6" s="23"/>
      <c r="E6" s="23"/>
      <c r="F6" s="23"/>
      <c r="G6" s="23"/>
      <c r="H6" s="19"/>
    </row>
    <row r="7" spans="1:8" x14ac:dyDescent="0.45">
      <c r="A7" t="s">
        <v>31</v>
      </c>
      <c r="B7" s="10">
        <v>21394.285714285714</v>
      </c>
      <c r="C7" s="10"/>
      <c r="D7" s="10"/>
      <c r="E7" s="10"/>
      <c r="F7" s="10"/>
      <c r="G7" s="10"/>
    </row>
    <row r="8" spans="1:8" x14ac:dyDescent="0.45">
      <c r="A8" s="21" t="s">
        <v>33</v>
      </c>
      <c r="B8" s="23">
        <v>2139.4285714285716</v>
      </c>
      <c r="C8" s="23"/>
      <c r="D8" s="23"/>
      <c r="E8" s="23"/>
      <c r="F8" s="23"/>
      <c r="G8" s="23"/>
      <c r="H8"/>
    </row>
    <row r="9" spans="1:8" s="24" customFormat="1" ht="15" customHeight="1" x14ac:dyDescent="0.45">
      <c r="A9" s="24" t="s">
        <v>37</v>
      </c>
      <c r="B9" s="16">
        <v>54581</v>
      </c>
      <c r="C9" s="16"/>
      <c r="D9" s="16"/>
      <c r="E9" s="16"/>
      <c r="F9" s="16"/>
      <c r="G9" s="16"/>
      <c r="H9" s="25"/>
    </row>
    <row r="10" spans="1:8" s="24" customFormat="1" ht="15" customHeight="1" x14ac:dyDescent="0.45">
      <c r="A10" s="26" t="s">
        <v>29</v>
      </c>
      <c r="B10" s="22">
        <v>54.581000000000003</v>
      </c>
      <c r="C10" s="22"/>
      <c r="D10" s="22"/>
      <c r="E10" s="22"/>
      <c r="F10" s="22"/>
      <c r="G10" s="22"/>
    </row>
    <row r="11" spans="1:8" x14ac:dyDescent="0.45">
      <c r="A11" t="s">
        <v>41</v>
      </c>
      <c r="B11" s="10"/>
      <c r="C11" s="10">
        <f>(B5*1.03)</f>
        <v>238311.39428571425</v>
      </c>
      <c r="D11" s="10">
        <f>(C11*1.03)</f>
        <v>245460.73611428568</v>
      </c>
      <c r="E11" s="10">
        <f t="shared" ref="E11:G16" si="0">(D11*1.03)</f>
        <v>252824.55819771427</v>
      </c>
      <c r="F11" s="10">
        <f t="shared" si="0"/>
        <v>260409.29494364571</v>
      </c>
      <c r="G11" s="10">
        <f t="shared" si="0"/>
        <v>268221.57379195507</v>
      </c>
    </row>
    <row r="12" spans="1:8" x14ac:dyDescent="0.45">
      <c r="A12" s="21" t="s">
        <v>42</v>
      </c>
      <c r="B12" s="23"/>
      <c r="C12" s="23">
        <f>C11/10</f>
        <v>23831.139428571427</v>
      </c>
      <c r="D12" s="23">
        <f>D11/10</f>
        <v>24546.073611428568</v>
      </c>
      <c r="E12" s="23">
        <f t="shared" si="0"/>
        <v>25282.455819771425</v>
      </c>
      <c r="F12" s="23">
        <f t="shared" si="0"/>
        <v>26040.929494364569</v>
      </c>
      <c r="G12" s="23">
        <f t="shared" si="0"/>
        <v>26822.157379195505</v>
      </c>
      <c r="H12" s="19">
        <f>B12/12</f>
        <v>0</v>
      </c>
    </row>
    <row r="13" spans="1:8" x14ac:dyDescent="0.45">
      <c r="A13" t="s">
        <v>31</v>
      </c>
      <c r="B13" s="10"/>
      <c r="C13" s="10">
        <f>(B7*1.03)</f>
        <v>22036.114285714284</v>
      </c>
      <c r="D13" s="10">
        <f>(C13*1.03)</f>
        <v>22697.197714285714</v>
      </c>
      <c r="E13" s="10">
        <f t="shared" si="0"/>
        <v>23378.113645714286</v>
      </c>
      <c r="F13" s="10">
        <f t="shared" si="0"/>
        <v>24079.457055085713</v>
      </c>
      <c r="G13" s="10">
        <f t="shared" si="0"/>
        <v>24801.840766738285</v>
      </c>
    </row>
    <row r="14" spans="1:8" x14ac:dyDescent="0.45">
      <c r="A14" s="21" t="s">
        <v>33</v>
      </c>
      <c r="B14" s="23"/>
      <c r="C14" s="23">
        <f>C13/10</f>
        <v>2203.6114285714284</v>
      </c>
      <c r="D14" s="23">
        <f>D13/10</f>
        <v>2269.7197714285712</v>
      </c>
      <c r="E14" s="23">
        <f t="shared" si="0"/>
        <v>2337.8113645714284</v>
      </c>
      <c r="F14" s="23">
        <f t="shared" si="0"/>
        <v>2407.9457055085713</v>
      </c>
      <c r="G14" s="23">
        <f t="shared" si="0"/>
        <v>2480.1840766738287</v>
      </c>
      <c r="H14"/>
    </row>
    <row r="15" spans="1:8" s="24" customFormat="1" ht="15" customHeight="1" x14ac:dyDescent="0.45">
      <c r="A15" s="24" t="s">
        <v>37</v>
      </c>
      <c r="B15" s="16"/>
      <c r="C15" s="16">
        <f>(B9*1.03)</f>
        <v>56218.43</v>
      </c>
      <c r="D15" s="16">
        <f>(C15*1.03)</f>
        <v>57904.982900000003</v>
      </c>
      <c r="E15" s="16">
        <f t="shared" si="0"/>
        <v>59642.132387000005</v>
      </c>
      <c r="F15" s="16">
        <f t="shared" si="0"/>
        <v>61431.396358610007</v>
      </c>
      <c r="G15" s="16">
        <f t="shared" si="0"/>
        <v>63274.338249368309</v>
      </c>
      <c r="H15" s="25"/>
    </row>
    <row r="16" spans="1:8" s="24" customFormat="1" ht="15" customHeight="1" x14ac:dyDescent="0.45">
      <c r="A16" s="26" t="s">
        <v>29</v>
      </c>
      <c r="B16" s="22"/>
      <c r="C16" s="22">
        <f>(B10*1.03)</f>
        <v>56.218430000000005</v>
      </c>
      <c r="D16" s="22">
        <f>(C16*1.03)</f>
        <v>57.904982900000007</v>
      </c>
      <c r="E16" s="22">
        <f t="shared" si="0"/>
        <v>59.642132387000011</v>
      </c>
      <c r="F16" s="22">
        <f t="shared" si="0"/>
        <v>61.431396358610016</v>
      </c>
      <c r="G16" s="22">
        <f t="shared" si="0"/>
        <v>63.27433824936832</v>
      </c>
    </row>
    <row r="17" spans="1:8" x14ac:dyDescent="0.45">
      <c r="B17" s="10"/>
      <c r="C17" s="16"/>
      <c r="D17" s="10"/>
      <c r="E17" s="10"/>
      <c r="F17" s="10"/>
      <c r="G17" s="10"/>
      <c r="H17"/>
    </row>
    <row r="18" spans="1:8" x14ac:dyDescent="0.45">
      <c r="A18" s="3" t="s">
        <v>1</v>
      </c>
      <c r="B18" s="9">
        <v>2021</v>
      </c>
      <c r="C18" s="9">
        <v>2022</v>
      </c>
      <c r="D18" s="9">
        <v>2023</v>
      </c>
      <c r="E18" s="9">
        <v>2024</v>
      </c>
      <c r="F18" s="9">
        <v>2025</v>
      </c>
      <c r="G18" s="9">
        <v>2026</v>
      </c>
      <c r="H18" s="7" t="s">
        <v>2</v>
      </c>
    </row>
    <row r="19" spans="1:8" x14ac:dyDescent="0.45">
      <c r="A19" t="s">
        <v>27</v>
      </c>
      <c r="B19" s="20">
        <v>231370.28571428568</v>
      </c>
      <c r="C19" s="20">
        <f>C11*1</f>
        <v>238311.39428571425</v>
      </c>
      <c r="D19" s="20">
        <f>D11*1</f>
        <v>245460.73611428568</v>
      </c>
      <c r="E19" s="20">
        <f t="shared" ref="E19:G19" si="1">E11*1</f>
        <v>252824.55819771427</v>
      </c>
      <c r="F19" s="20">
        <f>F11*1</f>
        <v>260409.29494364571</v>
      </c>
      <c r="G19" s="20">
        <f t="shared" si="1"/>
        <v>268221.57379195507</v>
      </c>
      <c r="H19" s="83" t="s">
        <v>43</v>
      </c>
    </row>
    <row r="20" spans="1:8" x14ac:dyDescent="0.45">
      <c r="A20" t="s">
        <v>26</v>
      </c>
      <c r="B20" s="20">
        <v>21394.285714285714</v>
      </c>
      <c r="C20" s="20">
        <f>C13*1.3</f>
        <v>28646.948571428569</v>
      </c>
      <c r="D20" s="20">
        <f t="shared" ref="D20:G20" si="2">D13*1.3</f>
        <v>29506.35702857143</v>
      </c>
      <c r="E20" s="20">
        <f t="shared" si="2"/>
        <v>30391.547739428574</v>
      </c>
      <c r="F20" s="20">
        <f t="shared" si="2"/>
        <v>31303.294171611429</v>
      </c>
      <c r="G20" s="20">
        <f t="shared" si="2"/>
        <v>32242.392996759772</v>
      </c>
      <c r="H20" s="83"/>
    </row>
    <row r="21" spans="1:8" x14ac:dyDescent="0.45">
      <c r="A21" t="s">
        <v>28</v>
      </c>
      <c r="B21" s="20">
        <v>545.81000000000006</v>
      </c>
      <c r="C21" s="20">
        <f>C15*0.013</f>
        <v>730.83958999999993</v>
      </c>
      <c r="D21" s="20">
        <f t="shared" ref="D21:G21" si="3">D15*0.013</f>
        <v>752.76477769999997</v>
      </c>
      <c r="E21" s="20">
        <f t="shared" si="3"/>
        <v>775.34772103099999</v>
      </c>
      <c r="F21" s="20">
        <f t="shared" si="3"/>
        <v>798.60815266193003</v>
      </c>
      <c r="G21" s="20">
        <f t="shared" si="3"/>
        <v>822.56639724178797</v>
      </c>
      <c r="H21" s="83"/>
    </row>
    <row r="22" spans="1:8" x14ac:dyDescent="0.45">
      <c r="A22" t="s">
        <v>3</v>
      </c>
      <c r="B22" s="4">
        <v>253310.38142857101</v>
      </c>
      <c r="C22" s="4">
        <f>SUM(C19:C21)</f>
        <v>267689.18244714278</v>
      </c>
      <c r="D22" s="4">
        <f t="shared" ref="D22:G22" si="4">SUM(D19:D21)</f>
        <v>275719.85792055714</v>
      </c>
      <c r="E22" s="4">
        <f t="shared" si="4"/>
        <v>283991.45365817385</v>
      </c>
      <c r="F22" s="4">
        <f t="shared" si="4"/>
        <v>292511.19726791908</v>
      </c>
      <c r="G22" s="4">
        <f t="shared" si="4"/>
        <v>301286.53318595665</v>
      </c>
    </row>
    <row r="23" spans="1:8" x14ac:dyDescent="0.45">
      <c r="B23" s="2"/>
    </row>
    <row r="24" spans="1:8" x14ac:dyDescent="0.45">
      <c r="A24" s="3" t="s">
        <v>4</v>
      </c>
      <c r="B24" s="27"/>
    </row>
    <row r="25" spans="1:8" x14ac:dyDescent="0.45">
      <c r="A25" t="s">
        <v>35</v>
      </c>
      <c r="B25" s="1">
        <f>B6*5</f>
        <v>347055.42857142852</v>
      </c>
      <c r="C25" s="1">
        <f>C12*4</f>
        <v>95324.557714285707</v>
      </c>
      <c r="D25" s="1">
        <f t="shared" ref="D25:G25" si="5">D12*4</f>
        <v>98184.294445714273</v>
      </c>
      <c r="E25" s="1">
        <f t="shared" si="5"/>
        <v>101129.8232790857</v>
      </c>
      <c r="F25" s="1">
        <f t="shared" si="5"/>
        <v>104163.71797745828</v>
      </c>
      <c r="G25" s="1">
        <f t="shared" si="5"/>
        <v>107288.62951678202</v>
      </c>
    </row>
    <row r="26" spans="1:8" x14ac:dyDescent="0.45">
      <c r="A26" t="s">
        <v>36</v>
      </c>
      <c r="B26" s="1">
        <v>7032</v>
      </c>
      <c r="C26" s="1">
        <f>(C14+C16)*4</f>
        <v>9039.3194342857132</v>
      </c>
      <c r="D26" s="1">
        <f t="shared" ref="D26:G26" si="6">(D14+D16)*4</f>
        <v>9310.4990173142851</v>
      </c>
      <c r="E26" s="1">
        <f t="shared" si="6"/>
        <v>9589.8139878337133</v>
      </c>
      <c r="F26" s="1">
        <f t="shared" si="6"/>
        <v>9877.5084074687256</v>
      </c>
      <c r="G26" s="1">
        <f t="shared" si="6"/>
        <v>10173.833659692787</v>
      </c>
    </row>
    <row r="27" spans="1:8" x14ac:dyDescent="0.45">
      <c r="A27" t="s">
        <v>5</v>
      </c>
      <c r="B27" s="1">
        <v>25331.038142857142</v>
      </c>
      <c r="C27" s="1">
        <f>C22*0.1</f>
        <v>26768.918244714281</v>
      </c>
      <c r="D27" s="1">
        <f>D22*0.1</f>
        <v>27571.985792055715</v>
      </c>
      <c r="E27" s="1">
        <f>E22*0.1</f>
        <v>28399.145365817385</v>
      </c>
      <c r="F27" s="1">
        <f>F22*0.1</f>
        <v>29251.119726791909</v>
      </c>
      <c r="G27" s="1">
        <f>G22*0.1</f>
        <v>30128.653318595665</v>
      </c>
      <c r="H27" s="6" t="s">
        <v>22</v>
      </c>
    </row>
    <row r="28" spans="1:8" s="13" customFormat="1" x14ac:dyDescent="0.45">
      <c r="A28" s="13" t="s">
        <v>38</v>
      </c>
      <c r="B28" s="17">
        <v>25000</v>
      </c>
      <c r="C28" s="1">
        <f>(C22*0.1)</f>
        <v>26768.918244714281</v>
      </c>
      <c r="D28" s="1">
        <f>(D22*0.1)</f>
        <v>27571.985792055715</v>
      </c>
      <c r="E28" s="1">
        <f>(E22*0.1)</f>
        <v>28399.145365817385</v>
      </c>
      <c r="F28" s="1">
        <f>(F22*0.1)</f>
        <v>29251.119726791909</v>
      </c>
      <c r="G28" s="1">
        <f>(G22*0.1)</f>
        <v>30128.653318595665</v>
      </c>
      <c r="H28" s="14" t="s">
        <v>16</v>
      </c>
    </row>
    <row r="29" spans="1:8" x14ac:dyDescent="0.45">
      <c r="B29" s="12"/>
      <c r="D29" s="12"/>
      <c r="E29" s="12"/>
      <c r="F29" s="12"/>
      <c r="G29" s="12"/>
    </row>
    <row r="30" spans="1:8" x14ac:dyDescent="0.45">
      <c r="A30" t="s">
        <v>7</v>
      </c>
      <c r="B30" s="4">
        <v>503535.0952857142</v>
      </c>
      <c r="C30" s="4">
        <f>SUM(C25:C29)</f>
        <v>157901.71363799996</v>
      </c>
      <c r="D30" s="4">
        <f>SUM(D25:D29)</f>
        <v>162638.76504714001</v>
      </c>
      <c r="E30" s="4">
        <f>SUM(E25:E29)</f>
        <v>167517.92799855417</v>
      </c>
      <c r="F30" s="4">
        <f>SUM(F25:F29)</f>
        <v>172543.46583851083</v>
      </c>
      <c r="G30" s="4">
        <f>SUM(G25:G29)</f>
        <v>177719.76981366612</v>
      </c>
    </row>
    <row r="32" spans="1:8" x14ac:dyDescent="0.45">
      <c r="A32" t="s">
        <v>23</v>
      </c>
      <c r="B32" s="2">
        <f t="shared" ref="B32:G32" si="7">B22-B30</f>
        <v>-250224.71385714319</v>
      </c>
      <c r="C32" s="2">
        <f t="shared" si="7"/>
        <v>109787.46880914283</v>
      </c>
      <c r="D32" s="2">
        <f t="shared" si="7"/>
        <v>113081.09287341713</v>
      </c>
      <c r="E32" s="2">
        <f t="shared" si="7"/>
        <v>116473.52565961969</v>
      </c>
      <c r="F32" s="2">
        <f t="shared" si="7"/>
        <v>119967.73142940825</v>
      </c>
      <c r="G32" s="2">
        <f t="shared" si="7"/>
        <v>123566.76337229053</v>
      </c>
    </row>
    <row r="33" spans="1:8" ht="28.5" x14ac:dyDescent="0.45">
      <c r="A33" t="s">
        <v>24</v>
      </c>
      <c r="B33" s="2">
        <f>152506.96+B32</f>
        <v>-97717.753857143194</v>
      </c>
      <c r="C33" s="2">
        <f>B33+C32</f>
        <v>12069.714951999631</v>
      </c>
      <c r="D33" s="2">
        <f>C33+D32</f>
        <v>125150.80782541676</v>
      </c>
      <c r="E33" s="2">
        <f t="shared" ref="E33:G33" si="8">D33+E32</f>
        <v>241624.33348503645</v>
      </c>
      <c r="F33" s="2">
        <f t="shared" si="8"/>
        <v>361592.06491444469</v>
      </c>
      <c r="G33" s="2">
        <f t="shared" si="8"/>
        <v>485158.82828673522</v>
      </c>
      <c r="H33" s="6" t="s">
        <v>39</v>
      </c>
    </row>
    <row r="34" spans="1:8" x14ac:dyDescent="0.45">
      <c r="B34" s="2"/>
    </row>
    <row r="35" spans="1:8" x14ac:dyDescent="0.45">
      <c r="H35" s="8"/>
    </row>
    <row r="36" spans="1:8" x14ac:dyDescent="0.45">
      <c r="H36" s="8"/>
    </row>
    <row r="37" spans="1:8" x14ac:dyDescent="0.45">
      <c r="C37" s="2"/>
      <c r="D37" s="2"/>
      <c r="E37" s="2"/>
      <c r="F37" s="2"/>
      <c r="G37" s="2"/>
    </row>
  </sheetData>
  <mergeCells count="4">
    <mergeCell ref="A1:C1"/>
    <mergeCell ref="A2:C2"/>
    <mergeCell ref="B3:E3"/>
    <mergeCell ref="H19:H21"/>
  </mergeCells>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BFB43-3937-4B8C-908B-86A89946CF35}">
  <dimension ref="A1:H37"/>
  <sheetViews>
    <sheetView topLeftCell="A10" zoomScaleNormal="100" workbookViewId="0">
      <selection activeCell="B38" sqref="B38"/>
    </sheetView>
  </sheetViews>
  <sheetFormatPr defaultRowHeight="14.25" x14ac:dyDescent="0.45"/>
  <cols>
    <col min="1" max="1" width="49.73046875" bestFit="1" customWidth="1"/>
    <col min="2" max="2" width="13.59765625" bestFit="1" customWidth="1"/>
    <col min="3" max="7" width="13" bestFit="1" customWidth="1"/>
    <col min="8" max="8" width="93.86328125" style="73" customWidth="1"/>
    <col min="9" max="9" width="8.86328125" customWidth="1"/>
  </cols>
  <sheetData>
    <row r="1" spans="1:8" ht="15.75" x14ac:dyDescent="0.5">
      <c r="A1" s="80" t="s">
        <v>21</v>
      </c>
      <c r="B1" s="80"/>
      <c r="C1" s="80"/>
      <c r="D1" s="5"/>
      <c r="E1" s="5"/>
      <c r="F1" s="5"/>
      <c r="G1" s="5"/>
    </row>
    <row r="2" spans="1:8" ht="15.75" x14ac:dyDescent="0.5">
      <c r="A2" s="80" t="s">
        <v>25</v>
      </c>
      <c r="B2" s="80"/>
      <c r="C2" s="80"/>
      <c r="D2" s="5"/>
      <c r="E2" s="5"/>
      <c r="F2" s="5"/>
      <c r="G2" s="5"/>
    </row>
    <row r="3" spans="1:8" ht="15.75" x14ac:dyDescent="0.5">
      <c r="A3" s="18"/>
      <c r="B3" s="80" t="s">
        <v>34</v>
      </c>
      <c r="C3" s="80"/>
      <c r="D3" s="80"/>
      <c r="E3" s="80"/>
      <c r="F3" s="18"/>
      <c r="G3" s="18"/>
    </row>
    <row r="4" spans="1:8" ht="15.75" x14ac:dyDescent="0.5">
      <c r="A4" s="11"/>
      <c r="B4" s="9">
        <v>2021</v>
      </c>
      <c r="C4" s="9">
        <v>2022</v>
      </c>
      <c r="D4" s="9">
        <v>2023</v>
      </c>
      <c r="E4" s="9">
        <v>2024</v>
      </c>
      <c r="F4" s="9">
        <v>2025</v>
      </c>
      <c r="G4" s="9">
        <v>2026</v>
      </c>
    </row>
    <row r="5" spans="1:8" x14ac:dyDescent="0.45">
      <c r="A5" t="s">
        <v>30</v>
      </c>
      <c r="B5" s="10">
        <v>231370.28571428568</v>
      </c>
      <c r="C5" s="10"/>
      <c r="D5" s="10"/>
      <c r="E5" s="10"/>
      <c r="F5" s="10"/>
      <c r="G5" s="10"/>
    </row>
    <row r="6" spans="1:8" x14ac:dyDescent="0.45">
      <c r="A6" s="21" t="s">
        <v>32</v>
      </c>
      <c r="B6" s="23">
        <v>69411.085714285698</v>
      </c>
      <c r="C6" s="23"/>
      <c r="D6" s="23"/>
      <c r="E6" s="23"/>
      <c r="F6" s="23"/>
      <c r="G6" s="23"/>
      <c r="H6" s="74"/>
    </row>
    <row r="7" spans="1:8" x14ac:dyDescent="0.45">
      <c r="A7" t="s">
        <v>31</v>
      </c>
      <c r="B7" s="10">
        <v>21394.285714285714</v>
      </c>
      <c r="C7" s="10"/>
      <c r="D7" s="10"/>
      <c r="E7" s="10"/>
      <c r="F7" s="10"/>
      <c r="G7" s="10"/>
    </row>
    <row r="8" spans="1:8" x14ac:dyDescent="0.45">
      <c r="A8" s="21" t="s">
        <v>33</v>
      </c>
      <c r="B8" s="23">
        <v>2139.4285714285716</v>
      </c>
      <c r="C8" s="23"/>
      <c r="D8" s="23"/>
      <c r="E8" s="23"/>
      <c r="F8" s="23"/>
      <c r="G8" s="23"/>
      <c r="H8" s="75"/>
    </row>
    <row r="9" spans="1:8" s="24" customFormat="1" ht="15" customHeight="1" x14ac:dyDescent="0.45">
      <c r="A9" s="24" t="s">
        <v>37</v>
      </c>
      <c r="B9" s="16">
        <v>54581</v>
      </c>
      <c r="C9" s="16"/>
      <c r="D9" s="16"/>
      <c r="E9" s="16"/>
      <c r="F9" s="16"/>
      <c r="G9" s="16"/>
      <c r="H9" s="76"/>
    </row>
    <row r="10" spans="1:8" s="24" customFormat="1" ht="15" customHeight="1" x14ac:dyDescent="0.45">
      <c r="A10" s="26" t="s">
        <v>45</v>
      </c>
      <c r="B10" s="22">
        <v>54.581000000000003</v>
      </c>
      <c r="C10" s="22"/>
      <c r="D10" s="22"/>
      <c r="E10" s="22"/>
      <c r="F10" s="22"/>
      <c r="G10" s="22"/>
      <c r="H10" s="77"/>
    </row>
    <row r="11" spans="1:8" x14ac:dyDescent="0.45">
      <c r="A11" t="s">
        <v>41</v>
      </c>
      <c r="B11" s="10"/>
      <c r="C11" s="10">
        <f>(B5*1.03)</f>
        <v>238311.39428571425</v>
      </c>
      <c r="D11" s="10">
        <f>(C11*1.03)</f>
        <v>245460.73611428568</v>
      </c>
      <c r="E11" s="10">
        <f t="shared" ref="E11:F11" si="0">(D11*1.03)</f>
        <v>252824.55819771427</v>
      </c>
      <c r="F11" s="10">
        <f t="shared" si="0"/>
        <v>260409.29494364571</v>
      </c>
      <c r="G11" s="10">
        <f t="shared" ref="G11" si="1">(F11*1.03)</f>
        <v>268221.57379195507</v>
      </c>
    </row>
    <row r="12" spans="1:8" x14ac:dyDescent="0.45">
      <c r="A12" s="21" t="s">
        <v>42</v>
      </c>
      <c r="B12" s="23"/>
      <c r="C12" s="23">
        <f>C11/10</f>
        <v>23831.139428571427</v>
      </c>
      <c r="D12" s="23">
        <f>D11/10</f>
        <v>24546.073611428568</v>
      </c>
      <c r="E12" s="23">
        <f t="shared" ref="E12:E16" si="2">(D12*1.03)</f>
        <v>25282.455819771425</v>
      </c>
      <c r="F12" s="23">
        <f t="shared" ref="F12:F16" si="3">(E12*1.03)</f>
        <v>26040.929494364569</v>
      </c>
      <c r="G12" s="23">
        <f t="shared" ref="G12:G16" si="4">(F12*1.03)</f>
        <v>26822.157379195505</v>
      </c>
      <c r="H12" s="74">
        <f>B12/12</f>
        <v>0</v>
      </c>
    </row>
    <row r="13" spans="1:8" x14ac:dyDescent="0.45">
      <c r="A13" t="s">
        <v>31</v>
      </c>
      <c r="B13" s="10"/>
      <c r="C13" s="10">
        <f>(B7*1.03)</f>
        <v>22036.114285714284</v>
      </c>
      <c r="D13" s="10">
        <f>(C13*1.03)</f>
        <v>22697.197714285714</v>
      </c>
      <c r="E13" s="10">
        <f t="shared" si="2"/>
        <v>23378.113645714286</v>
      </c>
      <c r="F13" s="10">
        <f t="shared" si="3"/>
        <v>24079.457055085713</v>
      </c>
      <c r="G13" s="10">
        <f t="shared" si="4"/>
        <v>24801.840766738285</v>
      </c>
    </row>
    <row r="14" spans="1:8" x14ac:dyDescent="0.45">
      <c r="A14" s="21" t="s">
        <v>33</v>
      </c>
      <c r="B14" s="23"/>
      <c r="C14" s="23">
        <f>C13/10</f>
        <v>2203.6114285714284</v>
      </c>
      <c r="D14" s="23">
        <f>D13/10</f>
        <v>2269.7197714285712</v>
      </c>
      <c r="E14" s="23">
        <f t="shared" si="2"/>
        <v>2337.8113645714284</v>
      </c>
      <c r="F14" s="23">
        <f t="shared" si="3"/>
        <v>2407.9457055085713</v>
      </c>
      <c r="G14" s="23">
        <f t="shared" si="4"/>
        <v>2480.1840766738287</v>
      </c>
      <c r="H14" s="75"/>
    </row>
    <row r="15" spans="1:8" s="24" customFormat="1" ht="15" customHeight="1" x14ac:dyDescent="0.45">
      <c r="A15" s="24" t="s">
        <v>37</v>
      </c>
      <c r="B15" s="16"/>
      <c r="C15" s="16">
        <f>(B9*1.03)</f>
        <v>56218.43</v>
      </c>
      <c r="D15" s="16">
        <f>(C15*1.03)</f>
        <v>57904.982900000003</v>
      </c>
      <c r="E15" s="16">
        <f t="shared" si="2"/>
        <v>59642.132387000005</v>
      </c>
      <c r="F15" s="16">
        <f t="shared" si="3"/>
        <v>61431.396358610007</v>
      </c>
      <c r="G15" s="16">
        <f t="shared" si="4"/>
        <v>63274.338249368309</v>
      </c>
      <c r="H15" s="76"/>
    </row>
    <row r="16" spans="1:8" s="24" customFormat="1" ht="15" customHeight="1" x14ac:dyDescent="0.45">
      <c r="A16" s="26" t="s">
        <v>45</v>
      </c>
      <c r="B16" s="22"/>
      <c r="C16" s="22">
        <f>(B10*1.03)</f>
        <v>56.218430000000005</v>
      </c>
      <c r="D16" s="22">
        <f>(C16*1.03)</f>
        <v>57.904982900000007</v>
      </c>
      <c r="E16" s="22">
        <f t="shared" si="2"/>
        <v>59.642132387000011</v>
      </c>
      <c r="F16" s="22">
        <f t="shared" si="3"/>
        <v>61.431396358610016</v>
      </c>
      <c r="G16" s="22">
        <f t="shared" si="4"/>
        <v>63.27433824936832</v>
      </c>
      <c r="H16" s="77"/>
    </row>
    <row r="17" spans="1:8" x14ac:dyDescent="0.45">
      <c r="B17" s="10"/>
      <c r="C17" s="16"/>
      <c r="D17" s="10"/>
      <c r="E17" s="10"/>
      <c r="F17" s="10"/>
      <c r="G17" s="10"/>
      <c r="H17" s="75"/>
    </row>
    <row r="18" spans="1:8" x14ac:dyDescent="0.45">
      <c r="A18" s="3" t="s">
        <v>1</v>
      </c>
      <c r="B18" s="9">
        <v>2021</v>
      </c>
      <c r="C18" s="9">
        <v>2022</v>
      </c>
      <c r="D18" s="9">
        <v>2023</v>
      </c>
      <c r="E18" s="9">
        <v>2024</v>
      </c>
      <c r="F18" s="9">
        <v>2025</v>
      </c>
      <c r="G18" s="9">
        <v>2026</v>
      </c>
      <c r="H18" s="7" t="s">
        <v>2</v>
      </c>
    </row>
    <row r="19" spans="1:8" x14ac:dyDescent="0.45">
      <c r="A19" t="s">
        <v>27</v>
      </c>
      <c r="B19" s="20">
        <v>231370.28571428568</v>
      </c>
      <c r="C19" s="20">
        <f>C11*1</f>
        <v>238311.39428571425</v>
      </c>
      <c r="D19" s="20">
        <f>D11*1</f>
        <v>245460.73611428568</v>
      </c>
      <c r="E19" s="20">
        <f t="shared" ref="E19:G19" si="5">E11*1</f>
        <v>252824.55819771427</v>
      </c>
      <c r="F19" s="20">
        <f>F11*1</f>
        <v>260409.29494364571</v>
      </c>
      <c r="G19" s="20">
        <f t="shared" si="5"/>
        <v>268221.57379195507</v>
      </c>
      <c r="H19" s="83" t="s">
        <v>43</v>
      </c>
    </row>
    <row r="20" spans="1:8" x14ac:dyDescent="0.45">
      <c r="A20" t="s">
        <v>26</v>
      </c>
      <c r="B20" s="20">
        <v>21394.285714285714</v>
      </c>
      <c r="C20" s="20">
        <f>C13*1.3</f>
        <v>28646.948571428569</v>
      </c>
      <c r="D20" s="20">
        <f t="shared" ref="D20:G20" si="6">D13*1.3</f>
        <v>29506.35702857143</v>
      </c>
      <c r="E20" s="20">
        <f t="shared" si="6"/>
        <v>30391.547739428574</v>
      </c>
      <c r="F20" s="20">
        <f t="shared" si="6"/>
        <v>31303.294171611429</v>
      </c>
      <c r="G20" s="20">
        <f t="shared" si="6"/>
        <v>32242.392996759772</v>
      </c>
      <c r="H20" s="83"/>
    </row>
    <row r="21" spans="1:8" x14ac:dyDescent="0.45">
      <c r="A21" t="s">
        <v>28</v>
      </c>
      <c r="B21" s="20">
        <v>545.81000000000006</v>
      </c>
      <c r="C21" s="20">
        <f>C15*0.013</f>
        <v>730.83958999999993</v>
      </c>
      <c r="D21" s="20">
        <f t="shared" ref="D21:G21" si="7">D15*0.013</f>
        <v>752.76477769999997</v>
      </c>
      <c r="E21" s="20">
        <f t="shared" si="7"/>
        <v>775.34772103099999</v>
      </c>
      <c r="F21" s="20">
        <f t="shared" si="7"/>
        <v>798.60815266193003</v>
      </c>
      <c r="G21" s="20">
        <f t="shared" si="7"/>
        <v>822.56639724178797</v>
      </c>
      <c r="H21" s="83"/>
    </row>
    <row r="22" spans="1:8" x14ac:dyDescent="0.45">
      <c r="A22" t="s">
        <v>3</v>
      </c>
      <c r="B22" s="4">
        <v>253310.38142857101</v>
      </c>
      <c r="C22" s="4">
        <f>SUM(C19:C21)</f>
        <v>267689.18244714278</v>
      </c>
      <c r="D22" s="4">
        <f t="shared" ref="D22" si="8">SUM(D19:D21)</f>
        <v>275719.85792055714</v>
      </c>
      <c r="E22" s="4">
        <f t="shared" ref="E22:F22" si="9">SUM(E19:E21)</f>
        <v>283991.45365817385</v>
      </c>
      <c r="F22" s="4">
        <f t="shared" si="9"/>
        <v>292511.19726791908</v>
      </c>
      <c r="G22" s="4">
        <f t="shared" ref="G22" si="10">SUM(G19:G21)</f>
        <v>301286.53318595665</v>
      </c>
    </row>
    <row r="23" spans="1:8" x14ac:dyDescent="0.45">
      <c r="B23" s="2"/>
    </row>
    <row r="24" spans="1:8" x14ac:dyDescent="0.45">
      <c r="A24" s="3" t="s">
        <v>4</v>
      </c>
      <c r="B24" s="27"/>
    </row>
    <row r="25" spans="1:8" x14ac:dyDescent="0.45">
      <c r="A25" t="s">
        <v>35</v>
      </c>
      <c r="B25" s="1">
        <f>B6*5</f>
        <v>347055.42857142852</v>
      </c>
      <c r="C25" s="1">
        <f>C12*5</f>
        <v>119155.69714285713</v>
      </c>
      <c r="D25" s="1">
        <f t="shared" ref="D25:G25" si="11">D12*5</f>
        <v>122730.36805714284</v>
      </c>
      <c r="E25" s="1">
        <f t="shared" si="11"/>
        <v>126412.27909885712</v>
      </c>
      <c r="F25" s="1">
        <f t="shared" si="11"/>
        <v>130204.64747182284</v>
      </c>
      <c r="G25" s="1">
        <f t="shared" si="11"/>
        <v>134110.78689597754</v>
      </c>
    </row>
    <row r="26" spans="1:8" x14ac:dyDescent="0.45">
      <c r="A26" t="s">
        <v>36</v>
      </c>
      <c r="B26" s="1">
        <v>7032</v>
      </c>
      <c r="C26" s="1">
        <f>(C14+C16)*5</f>
        <v>11299.149292857142</v>
      </c>
      <c r="D26" s="1">
        <f t="shared" ref="D26:G26" si="12">(D14+D16)*5</f>
        <v>11638.123771642857</v>
      </c>
      <c r="E26" s="1">
        <f t="shared" si="12"/>
        <v>11987.267484792141</v>
      </c>
      <c r="F26" s="1">
        <f t="shared" si="12"/>
        <v>12346.885509335907</v>
      </c>
      <c r="G26" s="1">
        <f t="shared" si="12"/>
        <v>12717.292074615983</v>
      </c>
    </row>
    <row r="27" spans="1:8" x14ac:dyDescent="0.45">
      <c r="A27" t="s">
        <v>5</v>
      </c>
      <c r="B27" s="1">
        <v>25331.038142857142</v>
      </c>
      <c r="C27" s="1">
        <f>C22*0.1</f>
        <v>26768.918244714281</v>
      </c>
      <c r="D27" s="1">
        <f>D22*0.1</f>
        <v>27571.985792055715</v>
      </c>
      <c r="E27" s="1">
        <f>E22*0.1</f>
        <v>28399.145365817385</v>
      </c>
      <c r="F27" s="1">
        <f>F22*0.1</f>
        <v>29251.119726791909</v>
      </c>
      <c r="G27" s="1">
        <f>G22*0.1</f>
        <v>30128.653318595665</v>
      </c>
      <c r="H27" s="73" t="s">
        <v>22</v>
      </c>
    </row>
    <row r="28" spans="1:8" s="13" customFormat="1" x14ac:dyDescent="0.45">
      <c r="A28" s="13" t="s">
        <v>38</v>
      </c>
      <c r="B28" s="17">
        <v>25000</v>
      </c>
      <c r="C28" s="1">
        <f>(C22*0.1)</f>
        <v>26768.918244714281</v>
      </c>
      <c r="D28" s="1">
        <f>(D22*0.1)</f>
        <v>27571.985792055715</v>
      </c>
      <c r="E28" s="1">
        <f>(E22*0.1)</f>
        <v>28399.145365817385</v>
      </c>
      <c r="F28" s="1">
        <f>(F22*0.1)</f>
        <v>29251.119726791909</v>
      </c>
      <c r="G28" s="1">
        <f>(G22*0.1)</f>
        <v>30128.653318595665</v>
      </c>
      <c r="H28" s="78" t="s">
        <v>16</v>
      </c>
    </row>
    <row r="29" spans="1:8" x14ac:dyDescent="0.45">
      <c r="B29" s="12"/>
      <c r="D29" s="12"/>
      <c r="E29" s="12"/>
      <c r="F29" s="12"/>
      <c r="G29" s="12"/>
    </row>
    <row r="30" spans="1:8" x14ac:dyDescent="0.45">
      <c r="A30" t="s">
        <v>7</v>
      </c>
      <c r="B30" s="4">
        <v>503535.0952857142</v>
      </c>
      <c r="C30" s="4">
        <f>SUM(C25:C29)</f>
        <v>183992.68292514281</v>
      </c>
      <c r="D30" s="4">
        <f>SUM(D25:D29)</f>
        <v>189512.46341289714</v>
      </c>
      <c r="E30" s="4">
        <f>SUM(E25:E29)</f>
        <v>195197.83731528404</v>
      </c>
      <c r="F30" s="4">
        <f>SUM(F25:F29)</f>
        <v>201053.7724347426</v>
      </c>
      <c r="G30" s="4">
        <f>SUM(G25:G29)</f>
        <v>207085.38560778485</v>
      </c>
    </row>
    <row r="32" spans="1:8" x14ac:dyDescent="0.45">
      <c r="A32" t="s">
        <v>23</v>
      </c>
      <c r="B32" s="2">
        <f t="shared" ref="B32:G32" si="13">B22-B30</f>
        <v>-250224.71385714319</v>
      </c>
      <c r="C32" s="2">
        <f t="shared" si="13"/>
        <v>83696.499521999969</v>
      </c>
      <c r="D32" s="2">
        <f t="shared" si="13"/>
        <v>86207.394507660007</v>
      </c>
      <c r="E32" s="2">
        <f t="shared" si="13"/>
        <v>88793.616342889814</v>
      </c>
      <c r="F32" s="2">
        <f t="shared" si="13"/>
        <v>91457.424833176483</v>
      </c>
      <c r="G32" s="2">
        <f t="shared" si="13"/>
        <v>94201.147578171804</v>
      </c>
    </row>
    <row r="33" spans="1:8" ht="28.5" x14ac:dyDescent="0.45">
      <c r="A33" t="s">
        <v>24</v>
      </c>
      <c r="B33" s="2">
        <f>152506.96+B32</f>
        <v>-97717.753857143194</v>
      </c>
      <c r="C33" s="2">
        <f>B33+C32</f>
        <v>-14021.254335143225</v>
      </c>
      <c r="D33" s="2">
        <f>C33+D32</f>
        <v>72186.140172516782</v>
      </c>
      <c r="E33" s="2">
        <f t="shared" ref="E33:G33" si="14">D33+E32</f>
        <v>160979.7565154066</v>
      </c>
      <c r="F33" s="2">
        <f t="shared" si="14"/>
        <v>252437.18134858308</v>
      </c>
      <c r="G33" s="2">
        <f t="shared" si="14"/>
        <v>346638.32892675488</v>
      </c>
      <c r="H33" s="73" t="s">
        <v>39</v>
      </c>
    </row>
    <row r="34" spans="1:8" x14ac:dyDescent="0.45">
      <c r="B34" s="2"/>
    </row>
    <row r="35" spans="1:8" x14ac:dyDescent="0.45">
      <c r="H35" s="79"/>
    </row>
    <row r="36" spans="1:8" x14ac:dyDescent="0.45">
      <c r="H36" s="79"/>
    </row>
    <row r="37" spans="1:8" x14ac:dyDescent="0.45">
      <c r="C37" s="2"/>
      <c r="D37" s="2"/>
      <c r="E37" s="2"/>
      <c r="F37" s="2"/>
      <c r="G37" s="2"/>
    </row>
  </sheetData>
  <mergeCells count="4">
    <mergeCell ref="A1:C1"/>
    <mergeCell ref="A2:C2"/>
    <mergeCell ref="B3:E3"/>
    <mergeCell ref="H19:H21"/>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A7B5C-24CB-4F04-9F19-ECE03EA2A621}">
  <dimension ref="A1:H37"/>
  <sheetViews>
    <sheetView zoomScaleNormal="100" workbookViewId="0">
      <selection activeCell="B36" sqref="B36"/>
    </sheetView>
  </sheetViews>
  <sheetFormatPr defaultRowHeight="14.25" x14ac:dyDescent="0.45"/>
  <cols>
    <col min="1" max="1" width="49.73046875" bestFit="1" customWidth="1"/>
    <col min="2" max="2" width="13.59765625" bestFit="1" customWidth="1"/>
    <col min="3" max="7" width="13" bestFit="1" customWidth="1"/>
    <col min="8" max="8" width="97.86328125" style="6" customWidth="1"/>
    <col min="9" max="9" width="8.86328125" customWidth="1"/>
  </cols>
  <sheetData>
    <row r="1" spans="1:8" ht="15.75" x14ac:dyDescent="0.5">
      <c r="A1" s="80" t="s">
        <v>21</v>
      </c>
      <c r="B1" s="80"/>
      <c r="C1" s="80"/>
      <c r="D1" s="28"/>
      <c r="E1" s="28"/>
      <c r="F1" s="28"/>
      <c r="G1" s="28"/>
    </row>
    <row r="2" spans="1:8" ht="15.75" x14ac:dyDescent="0.5">
      <c r="A2" s="80" t="s">
        <v>25</v>
      </c>
      <c r="B2" s="80"/>
      <c r="C2" s="80"/>
      <c r="D2" s="28"/>
      <c r="E2" s="28"/>
      <c r="F2" s="28"/>
      <c r="G2" s="28"/>
    </row>
    <row r="3" spans="1:8" ht="15.75" x14ac:dyDescent="0.5">
      <c r="A3" s="28"/>
      <c r="B3" s="80" t="s">
        <v>34</v>
      </c>
      <c r="C3" s="80"/>
      <c r="D3" s="80"/>
      <c r="E3" s="80"/>
      <c r="F3" s="28"/>
      <c r="G3" s="28"/>
    </row>
    <row r="4" spans="1:8" ht="15.75" x14ac:dyDescent="0.5">
      <c r="A4" s="28"/>
      <c r="B4" s="9">
        <v>2021</v>
      </c>
      <c r="C4" s="9">
        <v>2022</v>
      </c>
      <c r="D4" s="9">
        <v>2023</v>
      </c>
      <c r="E4" s="9">
        <v>2024</v>
      </c>
      <c r="F4" s="9">
        <v>2025</v>
      </c>
      <c r="G4" s="9">
        <v>2026</v>
      </c>
    </row>
    <row r="5" spans="1:8" x14ac:dyDescent="0.45">
      <c r="A5" t="s">
        <v>30</v>
      </c>
      <c r="B5" s="10">
        <v>231370.28571428568</v>
      </c>
      <c r="C5" s="10"/>
      <c r="D5" s="10"/>
      <c r="E5" s="10"/>
      <c r="F5" s="10"/>
      <c r="G5" s="10"/>
    </row>
    <row r="6" spans="1:8" x14ac:dyDescent="0.45">
      <c r="A6" s="21" t="s">
        <v>32</v>
      </c>
      <c r="B6" s="23">
        <v>69411.085714285698</v>
      </c>
      <c r="C6" s="23"/>
      <c r="D6" s="23"/>
      <c r="E6" s="23"/>
      <c r="F6" s="23"/>
      <c r="G6" s="23"/>
      <c r="H6" s="19"/>
    </row>
    <row r="7" spans="1:8" x14ac:dyDescent="0.45">
      <c r="A7" t="s">
        <v>31</v>
      </c>
      <c r="B7" s="10">
        <v>21394.285714285714</v>
      </c>
      <c r="C7" s="10"/>
      <c r="D7" s="10"/>
      <c r="E7" s="10"/>
      <c r="F7" s="10"/>
      <c r="G7" s="10"/>
    </row>
    <row r="8" spans="1:8" x14ac:dyDescent="0.45">
      <c r="A8" s="21" t="s">
        <v>33</v>
      </c>
      <c r="B8" s="23">
        <v>2139.4285714285716</v>
      </c>
      <c r="C8" s="23"/>
      <c r="D8" s="23"/>
      <c r="E8" s="23"/>
      <c r="F8" s="23"/>
      <c r="G8" s="23"/>
      <c r="H8"/>
    </row>
    <row r="9" spans="1:8" s="24" customFormat="1" ht="15" customHeight="1" x14ac:dyDescent="0.45">
      <c r="A9" s="24" t="s">
        <v>37</v>
      </c>
      <c r="B9" s="16">
        <v>54581</v>
      </c>
      <c r="C9" s="16"/>
      <c r="D9" s="16"/>
      <c r="E9" s="16"/>
      <c r="F9" s="16"/>
      <c r="G9" s="16"/>
      <c r="H9" s="25"/>
    </row>
    <row r="10" spans="1:8" s="24" customFormat="1" ht="15" customHeight="1" x14ac:dyDescent="0.45">
      <c r="A10" s="26" t="s">
        <v>44</v>
      </c>
      <c r="B10" s="22">
        <v>54.581000000000003</v>
      </c>
      <c r="C10" s="22"/>
      <c r="D10" s="22"/>
      <c r="E10" s="22"/>
      <c r="F10" s="22"/>
      <c r="G10" s="22"/>
    </row>
    <row r="11" spans="1:8" x14ac:dyDescent="0.45">
      <c r="A11" t="s">
        <v>41</v>
      </c>
      <c r="B11" s="10"/>
      <c r="C11" s="10">
        <f>(B5*1.03)</f>
        <v>238311.39428571425</v>
      </c>
      <c r="D11" s="10">
        <f>(C11*1.03)</f>
        <v>245460.73611428568</v>
      </c>
      <c r="E11" s="10">
        <f t="shared" ref="E11:G16" si="0">(D11*1.03)</f>
        <v>252824.55819771427</v>
      </c>
      <c r="F11" s="10">
        <f t="shared" si="0"/>
        <v>260409.29494364571</v>
      </c>
      <c r="G11" s="10">
        <f t="shared" si="0"/>
        <v>268221.57379195507</v>
      </c>
    </row>
    <row r="12" spans="1:8" x14ac:dyDescent="0.45">
      <c r="A12" s="21" t="s">
        <v>42</v>
      </c>
      <c r="B12" s="23"/>
      <c r="C12" s="23">
        <f>C11/10</f>
        <v>23831.139428571427</v>
      </c>
      <c r="D12" s="23">
        <f>D11/10</f>
        <v>24546.073611428568</v>
      </c>
      <c r="E12" s="23">
        <f t="shared" si="0"/>
        <v>25282.455819771425</v>
      </c>
      <c r="F12" s="23">
        <f t="shared" si="0"/>
        <v>26040.929494364569</v>
      </c>
      <c r="G12" s="23">
        <f t="shared" si="0"/>
        <v>26822.157379195505</v>
      </c>
      <c r="H12" s="19">
        <f>B12/12</f>
        <v>0</v>
      </c>
    </row>
    <row r="13" spans="1:8" x14ac:dyDescent="0.45">
      <c r="A13" t="s">
        <v>31</v>
      </c>
      <c r="B13" s="10"/>
      <c r="C13" s="10">
        <f>(B7*1.03)</f>
        <v>22036.114285714284</v>
      </c>
      <c r="D13" s="10">
        <f>(C13*1.03)</f>
        <v>22697.197714285714</v>
      </c>
      <c r="E13" s="10">
        <f t="shared" si="0"/>
        <v>23378.113645714286</v>
      </c>
      <c r="F13" s="10">
        <f t="shared" si="0"/>
        <v>24079.457055085713</v>
      </c>
      <c r="G13" s="10">
        <f t="shared" si="0"/>
        <v>24801.840766738285</v>
      </c>
    </row>
    <row r="14" spans="1:8" x14ac:dyDescent="0.45">
      <c r="A14" s="21" t="s">
        <v>33</v>
      </c>
      <c r="B14" s="23"/>
      <c r="C14" s="23">
        <f>C13/10</f>
        <v>2203.6114285714284</v>
      </c>
      <c r="D14" s="23">
        <f>D13/10</f>
        <v>2269.7197714285712</v>
      </c>
      <c r="E14" s="23">
        <f t="shared" si="0"/>
        <v>2337.8113645714284</v>
      </c>
      <c r="F14" s="23">
        <f t="shared" si="0"/>
        <v>2407.9457055085713</v>
      </c>
      <c r="G14" s="23">
        <f t="shared" si="0"/>
        <v>2480.1840766738287</v>
      </c>
      <c r="H14"/>
    </row>
    <row r="15" spans="1:8" s="24" customFormat="1" ht="15" customHeight="1" x14ac:dyDescent="0.45">
      <c r="A15" s="24" t="s">
        <v>37</v>
      </c>
      <c r="B15" s="16"/>
      <c r="C15" s="16">
        <f>(B9*1.03)</f>
        <v>56218.43</v>
      </c>
      <c r="D15" s="16">
        <f>(C15*1.03)</f>
        <v>57904.982900000003</v>
      </c>
      <c r="E15" s="16">
        <f t="shared" si="0"/>
        <v>59642.132387000005</v>
      </c>
      <c r="F15" s="16">
        <f t="shared" si="0"/>
        <v>61431.396358610007</v>
      </c>
      <c r="G15" s="16">
        <f t="shared" si="0"/>
        <v>63274.338249368309</v>
      </c>
      <c r="H15" s="25"/>
    </row>
    <row r="16" spans="1:8" s="24" customFormat="1" ht="15" customHeight="1" x14ac:dyDescent="0.45">
      <c r="A16" s="26" t="s">
        <v>44</v>
      </c>
      <c r="B16" s="22"/>
      <c r="C16" s="22">
        <f>(B10*1.03)</f>
        <v>56.218430000000005</v>
      </c>
      <c r="D16" s="22">
        <f>(C16*1.03)</f>
        <v>57.904982900000007</v>
      </c>
      <c r="E16" s="22">
        <f t="shared" si="0"/>
        <v>59.642132387000011</v>
      </c>
      <c r="F16" s="22">
        <f t="shared" si="0"/>
        <v>61.431396358610016</v>
      </c>
      <c r="G16" s="22">
        <f t="shared" si="0"/>
        <v>63.27433824936832</v>
      </c>
    </row>
    <row r="17" spans="1:8" x14ac:dyDescent="0.45">
      <c r="B17" s="10"/>
      <c r="C17" s="16"/>
      <c r="D17" s="10"/>
      <c r="E17" s="10"/>
      <c r="F17" s="10"/>
      <c r="G17" s="10"/>
      <c r="H17"/>
    </row>
    <row r="18" spans="1:8" x14ac:dyDescent="0.45">
      <c r="A18" s="3" t="s">
        <v>1</v>
      </c>
      <c r="B18" s="9">
        <v>2021</v>
      </c>
      <c r="C18" s="9">
        <v>2022</v>
      </c>
      <c r="D18" s="9">
        <v>2023</v>
      </c>
      <c r="E18" s="9">
        <v>2024</v>
      </c>
      <c r="F18" s="9">
        <v>2025</v>
      </c>
      <c r="G18" s="9">
        <v>2026</v>
      </c>
      <c r="H18" s="7" t="s">
        <v>2</v>
      </c>
    </row>
    <row r="19" spans="1:8" x14ac:dyDescent="0.45">
      <c r="A19" t="s">
        <v>27</v>
      </c>
      <c r="B19" s="20">
        <v>231370.285</v>
      </c>
      <c r="C19" s="20">
        <f>C11*1</f>
        <v>238311.39428571425</v>
      </c>
      <c r="D19" s="20">
        <f>D11*1</f>
        <v>245460.73611428568</v>
      </c>
      <c r="E19" s="20">
        <f t="shared" ref="E19:G19" si="1">E11*1</f>
        <v>252824.55819771427</v>
      </c>
      <c r="F19" s="20">
        <f>F11*1</f>
        <v>260409.29494364571</v>
      </c>
      <c r="G19" s="20">
        <f t="shared" si="1"/>
        <v>268221.57379195507</v>
      </c>
      <c r="H19" s="83" t="s">
        <v>43</v>
      </c>
    </row>
    <row r="20" spans="1:8" x14ac:dyDescent="0.45">
      <c r="A20" t="s">
        <v>26</v>
      </c>
      <c r="B20" s="20">
        <v>21394.285</v>
      </c>
      <c r="C20" s="20">
        <f>C13*1.3</f>
        <v>28646.948571428569</v>
      </c>
      <c r="D20" s="20">
        <f t="shared" ref="D20:G20" si="2">D13*1.3</f>
        <v>29506.35702857143</v>
      </c>
      <c r="E20" s="20">
        <f t="shared" si="2"/>
        <v>30391.547739428574</v>
      </c>
      <c r="F20" s="20">
        <f t="shared" si="2"/>
        <v>31303.294171611429</v>
      </c>
      <c r="G20" s="20">
        <f t="shared" si="2"/>
        <v>32242.392996759772</v>
      </c>
      <c r="H20" s="83"/>
    </row>
    <row r="21" spans="1:8" x14ac:dyDescent="0.45">
      <c r="A21" t="s">
        <v>28</v>
      </c>
      <c r="B21" s="20">
        <v>545.81000000000006</v>
      </c>
      <c r="C21" s="20">
        <f>C15*0.013</f>
        <v>730.83958999999993</v>
      </c>
      <c r="D21" s="20">
        <f t="shared" ref="D21:G21" si="3">D15*0.013</f>
        <v>752.76477769999997</v>
      </c>
      <c r="E21" s="20">
        <f t="shared" si="3"/>
        <v>775.34772103099999</v>
      </c>
      <c r="F21" s="20">
        <f t="shared" si="3"/>
        <v>798.60815266193003</v>
      </c>
      <c r="G21" s="20">
        <f t="shared" si="3"/>
        <v>822.56639724178797</v>
      </c>
      <c r="H21" s="83"/>
    </row>
    <row r="22" spans="1:8" x14ac:dyDescent="0.45">
      <c r="A22" t="s">
        <v>3</v>
      </c>
      <c r="B22" s="4">
        <v>253310.38142857101</v>
      </c>
      <c r="C22" s="4">
        <f>SUM(C19:C21)</f>
        <v>267689.18244714278</v>
      </c>
      <c r="D22" s="4">
        <f t="shared" ref="D22:G22" si="4">SUM(D19:D21)</f>
        <v>275719.85792055714</v>
      </c>
      <c r="E22" s="4">
        <f t="shared" si="4"/>
        <v>283991.45365817385</v>
      </c>
      <c r="F22" s="4">
        <f t="shared" si="4"/>
        <v>292511.19726791908</v>
      </c>
      <c r="G22" s="4">
        <f t="shared" si="4"/>
        <v>301286.53318595665</v>
      </c>
    </row>
    <row r="23" spans="1:8" x14ac:dyDescent="0.45">
      <c r="B23" s="2"/>
    </row>
    <row r="24" spans="1:8" x14ac:dyDescent="0.45">
      <c r="A24" s="3" t="s">
        <v>4</v>
      </c>
      <c r="B24" s="27"/>
    </row>
    <row r="25" spans="1:8" x14ac:dyDescent="0.45">
      <c r="A25" t="s">
        <v>35</v>
      </c>
      <c r="B25" s="1">
        <f>B6*5</f>
        <v>347055.42857142852</v>
      </c>
      <c r="C25" s="1">
        <f>C12*6</f>
        <v>142986.83657142858</v>
      </c>
      <c r="D25" s="1">
        <f t="shared" ref="D25:G25" si="5">D12*6</f>
        <v>147276.44166857141</v>
      </c>
      <c r="E25" s="1">
        <f t="shared" si="5"/>
        <v>151694.73491862856</v>
      </c>
      <c r="F25" s="1">
        <f t="shared" si="5"/>
        <v>156245.57696618742</v>
      </c>
      <c r="G25" s="1">
        <f t="shared" si="5"/>
        <v>160932.94427517304</v>
      </c>
    </row>
    <row r="26" spans="1:8" x14ac:dyDescent="0.45">
      <c r="A26" t="s">
        <v>36</v>
      </c>
      <c r="B26" s="1">
        <v>7032</v>
      </c>
      <c r="C26" s="1">
        <f>(C14+C16)*6</f>
        <v>13558.97915142857</v>
      </c>
      <c r="D26" s="1">
        <f t="shared" ref="D26:G26" si="6">(D14+D16)*6</f>
        <v>13965.748525971427</v>
      </c>
      <c r="E26" s="1">
        <f t="shared" si="6"/>
        <v>14384.72098175057</v>
      </c>
      <c r="F26" s="1">
        <f t="shared" si="6"/>
        <v>14816.262611203088</v>
      </c>
      <c r="G26" s="1">
        <f t="shared" si="6"/>
        <v>15260.750489539181</v>
      </c>
    </row>
    <row r="27" spans="1:8" x14ac:dyDescent="0.45">
      <c r="A27" t="s">
        <v>5</v>
      </c>
      <c r="B27" s="1">
        <v>25331.038142857142</v>
      </c>
      <c r="C27" s="1">
        <f>C22*0.1</f>
        <v>26768.918244714281</v>
      </c>
      <c r="D27" s="1">
        <f>D22*0.1</f>
        <v>27571.985792055715</v>
      </c>
      <c r="E27" s="1">
        <f>E22*0.1</f>
        <v>28399.145365817385</v>
      </c>
      <c r="F27" s="1">
        <f>F22*0.1</f>
        <v>29251.119726791909</v>
      </c>
      <c r="G27" s="1">
        <f>G22*0.1</f>
        <v>30128.653318595665</v>
      </c>
      <c r="H27" s="6" t="s">
        <v>22</v>
      </c>
    </row>
    <row r="28" spans="1:8" s="13" customFormat="1" x14ac:dyDescent="0.45">
      <c r="A28" s="13" t="s">
        <v>38</v>
      </c>
      <c r="B28" s="17">
        <v>25000</v>
      </c>
      <c r="C28" s="1">
        <f>(C22*0.1)</f>
        <v>26768.918244714281</v>
      </c>
      <c r="D28" s="1">
        <f>(D22*0.1)</f>
        <v>27571.985792055715</v>
      </c>
      <c r="E28" s="1">
        <f>(E22*0.1)</f>
        <v>28399.145365817385</v>
      </c>
      <c r="F28" s="1">
        <f>(F22*0.1)</f>
        <v>29251.119726791909</v>
      </c>
      <c r="G28" s="1">
        <f>(G22*0.1)</f>
        <v>30128.653318595665</v>
      </c>
      <c r="H28" s="14" t="s">
        <v>16</v>
      </c>
    </row>
    <row r="29" spans="1:8" x14ac:dyDescent="0.45">
      <c r="B29" s="12"/>
      <c r="D29" s="12"/>
      <c r="E29" s="12"/>
      <c r="F29" s="12"/>
      <c r="G29" s="12"/>
    </row>
    <row r="30" spans="1:8" x14ac:dyDescent="0.45">
      <c r="A30" t="s">
        <v>7</v>
      </c>
      <c r="B30" s="4">
        <v>503535.0952857142</v>
      </c>
      <c r="C30" s="4">
        <f>SUM(C25:C29)</f>
        <v>210083.65221228567</v>
      </c>
      <c r="D30" s="4">
        <f>SUM(D25:D29)</f>
        <v>216386.16177865429</v>
      </c>
      <c r="E30" s="4">
        <f>SUM(E25:E29)</f>
        <v>222877.74663201391</v>
      </c>
      <c r="F30" s="4">
        <f>SUM(F25:F29)</f>
        <v>229564.07903097436</v>
      </c>
      <c r="G30" s="4">
        <f>SUM(G25:G29)</f>
        <v>236451.00140190354</v>
      </c>
    </row>
    <row r="32" spans="1:8" x14ac:dyDescent="0.45">
      <c r="A32" t="s">
        <v>23</v>
      </c>
      <c r="B32" s="2">
        <f t="shared" ref="B32:G32" si="7">B22-B30</f>
        <v>-250224.71385714319</v>
      </c>
      <c r="C32" s="2">
        <f t="shared" si="7"/>
        <v>57605.530234857113</v>
      </c>
      <c r="D32" s="2">
        <f t="shared" si="7"/>
        <v>59333.696141902852</v>
      </c>
      <c r="E32" s="2">
        <f t="shared" si="7"/>
        <v>61113.707026159944</v>
      </c>
      <c r="F32" s="2">
        <f t="shared" si="7"/>
        <v>62947.11823694472</v>
      </c>
      <c r="G32" s="2">
        <f t="shared" si="7"/>
        <v>64835.531784053106</v>
      </c>
    </row>
    <row r="33" spans="1:8" ht="28.5" x14ac:dyDescent="0.45">
      <c r="A33" t="s">
        <v>24</v>
      </c>
      <c r="B33" s="2">
        <f>152506.96+B32</f>
        <v>-97717.753857143194</v>
      </c>
      <c r="C33" s="2">
        <f>B33+C32</f>
        <v>-40112.223622286081</v>
      </c>
      <c r="D33" s="2">
        <f>C33+D32</f>
        <v>19221.472519616771</v>
      </c>
      <c r="E33" s="2">
        <f t="shared" ref="E33:G33" si="8">D33+E32</f>
        <v>80335.179545776715</v>
      </c>
      <c r="F33" s="2">
        <f t="shared" si="8"/>
        <v>143282.29778272143</v>
      </c>
      <c r="G33" s="2">
        <f t="shared" si="8"/>
        <v>208117.82956677454</v>
      </c>
      <c r="H33" s="6" t="s">
        <v>39</v>
      </c>
    </row>
    <row r="34" spans="1:8" x14ac:dyDescent="0.45">
      <c r="B34" s="2"/>
    </row>
    <row r="35" spans="1:8" x14ac:dyDescent="0.45">
      <c r="H35" s="8"/>
    </row>
    <row r="36" spans="1:8" x14ac:dyDescent="0.45">
      <c r="H36" s="8"/>
    </row>
    <row r="37" spans="1:8" x14ac:dyDescent="0.45">
      <c r="C37" s="2"/>
      <c r="D37" s="2"/>
      <c r="E37" s="2"/>
      <c r="F37" s="2"/>
      <c r="G37" s="2"/>
    </row>
  </sheetData>
  <mergeCells count="4">
    <mergeCell ref="A1:C1"/>
    <mergeCell ref="A2:C2"/>
    <mergeCell ref="B3:E3"/>
    <mergeCell ref="H19:H21"/>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Voluntary RNG Forecast</vt:lpstr>
      <vt:lpstr>Model</vt:lpstr>
      <vt:lpstr>Breakdown</vt:lpstr>
      <vt:lpstr>$4 MCE Forecast</vt:lpstr>
      <vt:lpstr>$5 MCE Forecast</vt:lpstr>
      <vt:lpstr>$6 MCE Forecast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Fryer, Joy</dc:creator>
  <cp:lastModifiedBy>Ghering, Amanda</cp:lastModifiedBy>
  <dcterms:created xsi:type="dcterms:W3CDTF">2021-07-19T14:49:25Z</dcterms:created>
  <dcterms:modified xsi:type="dcterms:W3CDTF">2021-10-18T20:35:48Z</dcterms:modified>
</cp:coreProperties>
</file>